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ylanzsigray/Desktop/"/>
    </mc:Choice>
  </mc:AlternateContent>
  <xr:revisionPtr revIDLastSave="0" documentId="13_ncr:1_{7143C7A5-F0B5-1B40-9D61-A16142711390}" xr6:coauthVersionLast="46" xr6:coauthVersionMax="46" xr10:uidLastSave="{00000000-0000-0000-0000-000000000000}"/>
  <bookViews>
    <workbookView xWindow="28820" yWindow="500" windowWidth="37500" windowHeight="19820" activeTab="1" xr2:uid="{00000000-000D-0000-FFFF-FFFF00000000}"/>
  </bookViews>
  <sheets>
    <sheet name="Instructions" sheetId="3" r:id="rId1"/>
    <sheet name="Pipe Calculations" sheetId="1" r:id="rId2"/>
    <sheet name="Fitting Calculations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F23" i="1"/>
  <c r="B23" i="1"/>
  <c r="I21" i="1"/>
  <c r="F21" i="1"/>
  <c r="F19" i="1"/>
  <c r="I19" i="1"/>
  <c r="O86" i="2" l="1"/>
  <c r="N86" i="2"/>
  <c r="M86" i="2"/>
  <c r="L86" i="2"/>
  <c r="K86" i="2"/>
  <c r="J86" i="2"/>
  <c r="I86" i="2"/>
  <c r="H86" i="2"/>
  <c r="G86" i="2"/>
  <c r="F86" i="2"/>
  <c r="E86" i="2"/>
  <c r="D86" i="2"/>
  <c r="C86" i="2"/>
  <c r="B86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B85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Q70" i="2" s="1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B77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B75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B59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B58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B57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B56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I22" i="1"/>
  <c r="I20" i="1"/>
  <c r="F22" i="1"/>
  <c r="F20" i="1"/>
  <c r="B21" i="1"/>
  <c r="B22" i="1" s="1"/>
  <c r="B19" i="1"/>
  <c r="B20" i="1" s="1"/>
  <c r="Q14" i="2" l="1"/>
  <c r="Q35" i="2"/>
  <c r="Q36" i="2"/>
  <c r="Q39" i="2"/>
  <c r="Q44" i="2"/>
  <c r="Q42" i="2"/>
  <c r="Q43" i="2"/>
  <c r="Q69" i="2"/>
  <c r="Q64" i="2"/>
  <c r="Q41" i="2"/>
  <c r="Q63" i="2"/>
  <c r="Q68" i="2"/>
  <c r="Q13" i="2"/>
  <c r="Q62" i="2"/>
  <c r="Q66" i="2"/>
  <c r="Q16" i="2"/>
  <c r="Q38" i="2"/>
  <c r="Q65" i="2"/>
  <c r="Q67" i="2"/>
  <c r="Q71" i="2"/>
  <c r="Q40" i="2"/>
  <c r="Q37" i="2"/>
  <c r="Q10" i="2"/>
  <c r="Q15" i="2"/>
  <c r="Q17" i="2"/>
  <c r="Q12" i="2"/>
  <c r="Q11" i="2"/>
  <c r="Q9" i="2"/>
  <c r="Q8" i="2"/>
  <c r="Q74" i="2" l="1"/>
  <c r="I24" i="1" s="1"/>
  <c r="Q47" i="2"/>
  <c r="F24" i="1" s="1"/>
  <c r="Q20" i="2"/>
  <c r="F25" i="1" l="1"/>
  <c r="F28" i="1" s="1"/>
  <c r="F30" i="1" s="1"/>
  <c r="F32" i="1" s="1"/>
  <c r="I25" i="1"/>
  <c r="I28" i="1" s="1"/>
  <c r="I30" i="1" s="1"/>
  <c r="I32" i="1" s="1"/>
  <c r="B24" i="1"/>
  <c r="B25" i="1" l="1"/>
  <c r="B28" i="1" s="1"/>
  <c r="B30" i="1" s="1"/>
  <c r="B32" i="1" s="1"/>
</calcChain>
</file>

<file path=xl/sharedStrings.xml><?xml version="1.0" encoding="utf-8"?>
<sst xmlns="http://schemas.openxmlformats.org/spreadsheetml/2006/main" count="207" uniqueCount="104">
  <si>
    <t>Pipe ID (Inches)</t>
  </si>
  <si>
    <t>Pipe Length (Feet)</t>
  </si>
  <si>
    <t>Total Pipe Friction</t>
  </si>
  <si>
    <t>Pipe Type</t>
  </si>
  <si>
    <t>C Range</t>
  </si>
  <si>
    <t>C Average</t>
  </si>
  <si>
    <t>Commonly Used</t>
  </si>
  <si>
    <t>Concrete</t>
  </si>
  <si>
    <t>Tar Coated Cast Iron</t>
  </si>
  <si>
    <t>150 - 80</t>
  </si>
  <si>
    <t>PVC</t>
  </si>
  <si>
    <t>Copper, Brass, Lead, Glass</t>
  </si>
  <si>
    <t>160 - 150</t>
  </si>
  <si>
    <t>160 - 130</t>
  </si>
  <si>
    <t>145 - 50</t>
  </si>
  <si>
    <t>150 - 120</t>
  </si>
  <si>
    <t>152 - 85</t>
  </si>
  <si>
    <t>Corrugated Steel</t>
  </si>
  <si>
    <t>Cast / Ductile Iron - New</t>
  </si>
  <si>
    <t>Cast Iron 10 years old</t>
  </si>
  <si>
    <t>113 - 107</t>
  </si>
  <si>
    <t>Cast Iron 20 years old</t>
  </si>
  <si>
    <t>100 - 89</t>
  </si>
  <si>
    <t>Cast Iron 30 years old</t>
  </si>
  <si>
    <t>75 - 90</t>
  </si>
  <si>
    <t>Cast Iron 40 years old</t>
  </si>
  <si>
    <t>83 - 64</t>
  </si>
  <si>
    <t>Steel - New</t>
  </si>
  <si>
    <t>Cement Lined Iron / Steel</t>
  </si>
  <si>
    <t>Asphalt Lined Iron / Steel</t>
  </si>
  <si>
    <t>140 - 130</t>
  </si>
  <si>
    <t>Aluminum</t>
  </si>
  <si>
    <t>150 - 130</t>
  </si>
  <si>
    <t>Asbestos Cement</t>
  </si>
  <si>
    <t>PE</t>
  </si>
  <si>
    <t>Total Fitting Friction</t>
  </si>
  <si>
    <t>Fitting Calcs</t>
  </si>
  <si>
    <t>2"</t>
  </si>
  <si>
    <t>2.5"</t>
  </si>
  <si>
    <t>3"</t>
  </si>
  <si>
    <t>4"</t>
  </si>
  <si>
    <t>5"</t>
  </si>
  <si>
    <t>6"</t>
  </si>
  <si>
    <t>8"</t>
  </si>
  <si>
    <t>10"</t>
  </si>
  <si>
    <t>12"</t>
  </si>
  <si>
    <t>14"</t>
  </si>
  <si>
    <t>16"</t>
  </si>
  <si>
    <t>20"</t>
  </si>
  <si>
    <t>24"</t>
  </si>
  <si>
    <t>90 Standard Elbow</t>
  </si>
  <si>
    <t>90 Long Radius Elbow</t>
  </si>
  <si>
    <t>45 Standard Elbow</t>
  </si>
  <si>
    <t>Gate Valve</t>
  </si>
  <si>
    <t>Swing Check Valve</t>
  </si>
  <si>
    <t>Standard Tee (Thru Flow)</t>
  </si>
  <si>
    <t>Standard Tee (Branch Flow)</t>
  </si>
  <si>
    <t>Globe Valve</t>
  </si>
  <si>
    <t>Butterfly Valve</t>
  </si>
  <si>
    <t>180 Return Bend</t>
  </si>
  <si>
    <t>18"</t>
  </si>
  <si>
    <t>gate</t>
  </si>
  <si>
    <t>globe</t>
  </si>
  <si>
    <t>bfly</t>
  </si>
  <si>
    <t>bend</t>
  </si>
  <si>
    <t>branch tee</t>
  </si>
  <si>
    <t>thru tee</t>
  </si>
  <si>
    <t>swing check</t>
  </si>
  <si>
    <t>disc check</t>
  </si>
  <si>
    <t>Calcs                                 std 90</t>
  </si>
  <si>
    <t>long 90</t>
  </si>
  <si>
    <t>Fittings</t>
  </si>
  <si>
    <t>Flow Rate (GPM)</t>
  </si>
  <si>
    <t>Velocity in Ft/sec</t>
  </si>
  <si>
    <t>Velocity Head in Ft</t>
  </si>
  <si>
    <t>Friction / 100 Feet of Pipe</t>
  </si>
  <si>
    <t>Fitting Equivalent Length</t>
  </si>
  <si>
    <t>Calculated Results</t>
  </si>
  <si>
    <t>Hazen &amp; Williams C Value</t>
  </si>
  <si>
    <t>Pipe Segment 1</t>
  </si>
  <si>
    <t>Pipe Segment 2</t>
  </si>
  <si>
    <t>Total Friction Losses Segment 1</t>
  </si>
  <si>
    <t>Total Friction Losses Segment 2</t>
  </si>
  <si>
    <t>Pipe Segment 3</t>
  </si>
  <si>
    <t>Total Friction Losses Segment 3</t>
  </si>
  <si>
    <t>Total Head Segment 1</t>
  </si>
  <si>
    <t>Vertical Static Head</t>
  </si>
  <si>
    <t>Specific Gravity:</t>
  </si>
  <si>
    <t>Ancillary equipment pressure drop(filters, flow meters,etc)</t>
  </si>
  <si>
    <t>Total Head Segment 2</t>
  </si>
  <si>
    <t>Total Head Segment 3</t>
  </si>
  <si>
    <t>Total Gauge Pressure Segment 1</t>
  </si>
  <si>
    <t>Pipe Head Calculations</t>
  </si>
  <si>
    <t>Total Gauge Pressure Segment 2</t>
  </si>
  <si>
    <t>Total Gauge Pressure Segment 3</t>
  </si>
  <si>
    <t>Ancillary equipment pressure drop PSIG(filters, flow meters,etc)</t>
  </si>
  <si>
    <t>Ancillary equipment equivalent length</t>
  </si>
  <si>
    <t xml:space="preserve">                          Pipe and Fittings Calculator</t>
  </si>
  <si>
    <t>Please enter the required data in the yellow cells. All data, with the exception of the ancillary equipment pressure drop, should be expressed in feet.</t>
  </si>
  <si>
    <t>Fluid Properties</t>
  </si>
  <si>
    <t>Hazen &amp; Williams C Value Chart</t>
  </si>
  <si>
    <t xml:space="preserve">                          Simple Pipe &amp; Fitting Calculations</t>
  </si>
  <si>
    <t>Enter the number of fittings in the yellow cells that correspond to the pipe diameter. All others must remain blank.</t>
  </si>
  <si>
    <t>Total Losses In Equivalent Feet of Pipe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</si>
</sst>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36"/>
      <color rgb="FF1478BD"/>
      <name val="Calibri (Body)"/>
    </font>
    <font>
      <b/>
      <sz val="36"/>
      <color rgb="FF1478BD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2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2"/>
      <color rgb="FF1478BD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1" fillId="0" borderId="0" xfId="0" applyFont="1"/>
    <xf numFmtId="164" fontId="1" fillId="0" borderId="0" xfId="0" applyNumberFormat="1" applyFont="1"/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164" fontId="8" fillId="3" borderId="0" xfId="0" applyNumberFormat="1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164" fontId="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64" fontId="13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Border="1"/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478B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381000</xdr:rowOff>
    </xdr:from>
    <xdr:to>
      <xdr:col>1</xdr:col>
      <xdr:colOff>139700</xdr:colOff>
      <xdr:row>2</xdr:row>
      <xdr:rowOff>215900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69B553-FA3D-9641-9E4B-C9AD6AE99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2641600" cy="66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5</xdr:col>
      <xdr:colOff>254000</xdr:colOff>
      <xdr:row>48</xdr:row>
      <xdr:rowOff>46181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0E4D7DE-3671-BC42-ACE1-928761CEB0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5000"/>
          <a:ext cx="7772400" cy="9774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25400</xdr:rowOff>
    </xdr:from>
    <xdr:to>
      <xdr:col>1</xdr:col>
      <xdr:colOff>139700</xdr:colOff>
      <xdr:row>1</xdr:row>
      <xdr:rowOff>50800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4BA682-13DD-5D4B-BBFB-29D57D607B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400"/>
          <a:ext cx="2641600" cy="660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25400</xdr:rowOff>
    </xdr:from>
    <xdr:to>
      <xdr:col>3</xdr:col>
      <xdr:colOff>50800</xdr:colOff>
      <xdr:row>1</xdr:row>
      <xdr:rowOff>50800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455BC2-C518-824A-99C5-0BC8385E4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400"/>
          <a:ext cx="2641600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F6994-F05E-4441-AFF3-567284C6E405}">
  <sheetPr>
    <pageSetUpPr fitToPage="1"/>
  </sheetPr>
  <dimension ref="A1:M53"/>
  <sheetViews>
    <sheetView topLeftCell="A5" workbookViewId="0">
      <selection activeCell="H11" sqref="H11"/>
    </sheetView>
  </sheetViews>
  <sheetFormatPr baseColWidth="10" defaultColWidth="8.83203125" defaultRowHeight="15" x14ac:dyDescent="0.2"/>
  <cols>
    <col min="1" max="1" width="32.83203125" style="31" customWidth="1"/>
    <col min="2" max="2" width="8.83203125" style="31"/>
    <col min="3" max="3" width="9.5" style="31" bestFit="1" customWidth="1"/>
    <col min="4" max="4" width="14.6640625" style="31" bestFit="1" customWidth="1"/>
    <col min="5" max="5" width="32.83203125" style="31" bestFit="1" customWidth="1"/>
    <col min="6" max="6" width="8.83203125" style="31" customWidth="1"/>
    <col min="7" max="7" width="9.5" style="31" customWidth="1"/>
    <col min="8" max="8" width="32.83203125" style="31" bestFit="1" customWidth="1"/>
    <col min="9" max="9" width="8.83203125" style="31"/>
    <col min="10" max="16384" width="8.83203125" style="32"/>
  </cols>
  <sheetData>
    <row r="1" spans="1:13" s="49" customFormat="1" ht="50" customHeight="1" x14ac:dyDescent="0.2">
      <c r="A1" s="50"/>
      <c r="B1" s="50"/>
      <c r="C1" s="50"/>
      <c r="D1" s="50"/>
      <c r="E1" s="50"/>
      <c r="F1" s="50"/>
    </row>
    <row r="2" spans="1:13" x14ac:dyDescent="0.2">
      <c r="A2" s="50"/>
      <c r="B2" s="50"/>
      <c r="C2" s="50"/>
      <c r="D2" s="50"/>
      <c r="E2" s="50"/>
      <c r="F2" s="50"/>
    </row>
    <row r="3" spans="1:13" ht="19" customHeight="1" x14ac:dyDescent="0.2">
      <c r="A3" s="50"/>
      <c r="B3" s="50"/>
      <c r="C3" s="50"/>
      <c r="D3" s="50"/>
      <c r="E3" s="50"/>
      <c r="F3" s="50"/>
    </row>
    <row r="4" spans="1:13" s="34" customFormat="1" ht="16" x14ac:dyDescent="0.2">
      <c r="A4" s="50"/>
      <c r="B4" s="50"/>
      <c r="C4" s="50"/>
      <c r="D4" s="50"/>
      <c r="E4" s="50"/>
      <c r="F4" s="50"/>
      <c r="G4" s="33"/>
      <c r="H4" s="33"/>
      <c r="I4" s="33"/>
    </row>
    <row r="5" spans="1:13" s="34" customFormat="1" ht="16" x14ac:dyDescent="0.2">
      <c r="A5" s="50"/>
      <c r="B5" s="50"/>
      <c r="C5" s="50"/>
      <c r="D5" s="50"/>
      <c r="E5" s="50"/>
      <c r="F5" s="50"/>
      <c r="G5" s="33"/>
      <c r="H5" s="33"/>
      <c r="I5" s="33"/>
    </row>
    <row r="6" spans="1:13" s="34" customFormat="1" ht="19" customHeight="1" x14ac:dyDescent="0.2">
      <c r="A6" s="50"/>
      <c r="B6" s="50"/>
      <c r="C6" s="50"/>
      <c r="D6" s="50"/>
      <c r="E6" s="50"/>
      <c r="F6" s="50"/>
      <c r="G6" s="33"/>
      <c r="H6" s="33"/>
      <c r="I6" s="33"/>
    </row>
    <row r="7" spans="1:13" s="34" customFormat="1" ht="16" x14ac:dyDescent="0.2">
      <c r="A7" s="50"/>
      <c r="B7" s="50"/>
      <c r="C7" s="50"/>
      <c r="D7" s="50"/>
      <c r="E7" s="50"/>
      <c r="F7" s="50"/>
      <c r="G7" s="33"/>
      <c r="H7" s="33"/>
      <c r="I7" s="35"/>
    </row>
    <row r="8" spans="1:13" s="34" customFormat="1" ht="16" x14ac:dyDescent="0.2">
      <c r="A8" s="50"/>
      <c r="B8" s="50"/>
      <c r="C8" s="50"/>
      <c r="D8" s="50"/>
      <c r="E8" s="50"/>
      <c r="F8" s="50"/>
      <c r="G8" s="33"/>
      <c r="H8" s="33"/>
      <c r="I8" s="33"/>
    </row>
    <row r="9" spans="1:13" s="34" customFormat="1" ht="16" x14ac:dyDescent="0.2">
      <c r="A9" s="50"/>
      <c r="B9" s="50"/>
      <c r="C9" s="50"/>
      <c r="D9" s="50"/>
      <c r="E9" s="50"/>
      <c r="F9" s="50"/>
      <c r="G9" s="33"/>
      <c r="H9" s="33"/>
      <c r="I9" s="33"/>
    </row>
    <row r="10" spans="1:13" s="34" customFormat="1" ht="19" x14ac:dyDescent="0.2">
      <c r="A10" s="50"/>
      <c r="B10" s="50"/>
      <c r="C10" s="50"/>
      <c r="D10" s="50"/>
      <c r="E10" s="50"/>
      <c r="F10" s="50"/>
      <c r="G10" s="33"/>
      <c r="H10" s="45"/>
      <c r="I10" s="46"/>
    </row>
    <row r="11" spans="1:13" s="34" customFormat="1" ht="16" x14ac:dyDescent="0.2">
      <c r="A11" s="50"/>
      <c r="B11" s="50"/>
      <c r="C11" s="50"/>
      <c r="D11" s="50"/>
      <c r="E11" s="50"/>
      <c r="F11" s="50"/>
      <c r="G11" s="33"/>
      <c r="H11" s="33"/>
      <c r="I11" s="33"/>
    </row>
    <row r="12" spans="1:13" s="34" customFormat="1" ht="16" x14ac:dyDescent="0.2">
      <c r="A12" s="50"/>
      <c r="B12" s="50"/>
      <c r="C12" s="50"/>
      <c r="D12" s="50"/>
      <c r="E12" s="50"/>
      <c r="F12" s="50"/>
      <c r="G12" s="33"/>
      <c r="H12" s="33"/>
      <c r="I12" s="33"/>
    </row>
    <row r="13" spans="1:13" s="34" customFormat="1" ht="16" x14ac:dyDescent="0.2">
      <c r="A13" s="50"/>
      <c r="B13" s="50"/>
      <c r="C13" s="50"/>
      <c r="D13" s="50"/>
      <c r="E13" s="50"/>
      <c r="F13" s="50"/>
      <c r="G13" s="33"/>
      <c r="H13" s="33"/>
      <c r="I13" s="33"/>
    </row>
    <row r="14" spans="1:13" s="34" customFormat="1" ht="16" x14ac:dyDescent="0.2">
      <c r="A14" s="50"/>
      <c r="B14" s="50"/>
      <c r="C14" s="50"/>
      <c r="D14" s="50"/>
      <c r="E14" s="50"/>
      <c r="F14" s="50"/>
      <c r="G14" s="33"/>
      <c r="H14" s="33"/>
      <c r="I14" s="33"/>
    </row>
    <row r="15" spans="1:13" s="34" customFormat="1" ht="16" x14ac:dyDescent="0.2">
      <c r="A15" s="50"/>
      <c r="B15" s="50"/>
      <c r="C15" s="50"/>
      <c r="D15" s="50"/>
      <c r="E15" s="50"/>
      <c r="F15" s="50"/>
      <c r="G15" s="33"/>
      <c r="H15" s="36"/>
      <c r="I15" s="33"/>
    </row>
    <row r="16" spans="1:13" s="34" customFormat="1" ht="16" x14ac:dyDescent="0.2">
      <c r="A16" s="50"/>
      <c r="B16" s="50"/>
      <c r="C16" s="50"/>
      <c r="D16" s="50"/>
      <c r="E16" s="50"/>
      <c r="F16" s="50"/>
      <c r="G16" s="33"/>
      <c r="H16" s="33"/>
      <c r="I16" s="33"/>
      <c r="J16" s="38"/>
      <c r="K16" s="38"/>
      <c r="L16" s="38"/>
      <c r="M16" s="38"/>
    </row>
    <row r="17" spans="1:13" s="34" customFormat="1" ht="16" x14ac:dyDescent="0.2">
      <c r="A17" s="50"/>
      <c r="B17" s="50"/>
      <c r="C17" s="50"/>
      <c r="D17" s="50"/>
      <c r="E17" s="50"/>
      <c r="F17" s="50"/>
      <c r="G17" s="33"/>
      <c r="H17" s="33"/>
      <c r="I17" s="33"/>
      <c r="J17" s="38"/>
      <c r="K17" s="38"/>
      <c r="L17" s="38"/>
      <c r="M17" s="38"/>
    </row>
    <row r="18" spans="1:13" s="34" customFormat="1" ht="19" x14ac:dyDescent="0.2">
      <c r="A18" s="50"/>
      <c r="B18" s="50"/>
      <c r="C18" s="50"/>
      <c r="D18" s="50"/>
      <c r="E18" s="50"/>
      <c r="F18" s="50"/>
      <c r="G18" s="33"/>
      <c r="H18" s="30"/>
      <c r="I18" s="33"/>
    </row>
    <row r="19" spans="1:13" s="34" customFormat="1" ht="16" x14ac:dyDescent="0.2">
      <c r="A19" s="50"/>
      <c r="B19" s="50"/>
      <c r="C19" s="50"/>
      <c r="D19" s="50"/>
      <c r="E19" s="50"/>
      <c r="F19" s="50"/>
      <c r="G19" s="33"/>
      <c r="H19" s="33"/>
      <c r="I19" s="37"/>
    </row>
    <row r="20" spans="1:13" s="34" customFormat="1" ht="16" x14ac:dyDescent="0.2">
      <c r="A20" s="50"/>
      <c r="B20" s="50"/>
      <c r="C20" s="50"/>
      <c r="D20" s="50"/>
      <c r="E20" s="50"/>
      <c r="F20" s="50"/>
      <c r="G20" s="33"/>
      <c r="H20" s="33"/>
      <c r="I20" s="37"/>
    </row>
    <row r="21" spans="1:13" s="34" customFormat="1" ht="16" x14ac:dyDescent="0.2">
      <c r="A21" s="50"/>
      <c r="B21" s="50"/>
      <c r="C21" s="50"/>
      <c r="D21" s="50"/>
      <c r="E21" s="50"/>
      <c r="F21" s="50"/>
      <c r="G21" s="33"/>
      <c r="H21" s="33"/>
      <c r="I21" s="37"/>
    </row>
    <row r="22" spans="1:13" s="34" customFormat="1" ht="16" x14ac:dyDescent="0.2">
      <c r="A22" s="50"/>
      <c r="B22" s="50"/>
      <c r="C22" s="50"/>
      <c r="D22" s="50"/>
      <c r="E22" s="50"/>
      <c r="F22" s="50"/>
      <c r="G22" s="33"/>
      <c r="H22" s="33"/>
      <c r="I22" s="37"/>
    </row>
    <row r="23" spans="1:13" s="34" customFormat="1" ht="16" x14ac:dyDescent="0.2">
      <c r="A23" s="50"/>
      <c r="B23" s="50"/>
      <c r="C23" s="50"/>
      <c r="D23" s="50"/>
      <c r="E23" s="50"/>
      <c r="F23" s="50"/>
      <c r="G23" s="33"/>
      <c r="H23" s="33"/>
      <c r="I23" s="37"/>
    </row>
    <row r="24" spans="1:13" s="34" customFormat="1" ht="16" x14ac:dyDescent="0.2">
      <c r="A24" s="50"/>
      <c r="B24" s="50"/>
      <c r="C24" s="50"/>
      <c r="D24" s="50"/>
      <c r="E24" s="50"/>
      <c r="F24" s="50"/>
      <c r="G24" s="33"/>
      <c r="H24" s="33"/>
      <c r="I24" s="37"/>
    </row>
    <row r="25" spans="1:13" s="34" customFormat="1" ht="16" x14ac:dyDescent="0.2">
      <c r="A25" s="50"/>
      <c r="B25" s="50"/>
      <c r="C25" s="50"/>
      <c r="D25" s="50"/>
      <c r="E25" s="50"/>
      <c r="F25" s="50"/>
      <c r="G25" s="33"/>
      <c r="H25" s="33"/>
      <c r="I25" s="37"/>
    </row>
    <row r="26" spans="1:13" s="34" customFormat="1" ht="16" x14ac:dyDescent="0.2">
      <c r="A26" s="50"/>
      <c r="B26" s="50"/>
      <c r="C26" s="50"/>
      <c r="D26" s="50"/>
      <c r="E26" s="50"/>
      <c r="F26" s="50"/>
      <c r="G26" s="33"/>
      <c r="H26" s="33"/>
      <c r="I26" s="33"/>
    </row>
    <row r="27" spans="1:13" s="34" customFormat="1" ht="16" x14ac:dyDescent="0.2">
      <c r="A27" s="50"/>
      <c r="B27" s="50"/>
      <c r="C27" s="50"/>
      <c r="D27" s="50"/>
      <c r="E27" s="50"/>
      <c r="F27" s="50"/>
      <c r="G27" s="33"/>
      <c r="H27" s="33"/>
      <c r="I27" s="33"/>
    </row>
    <row r="28" spans="1:13" s="34" customFormat="1" ht="16" x14ac:dyDescent="0.2">
      <c r="A28" s="50"/>
      <c r="B28" s="50"/>
      <c r="C28" s="50"/>
      <c r="D28" s="50"/>
      <c r="E28" s="50"/>
      <c r="F28" s="50"/>
      <c r="G28" s="33"/>
      <c r="H28" s="39"/>
      <c r="I28" s="37"/>
    </row>
    <row r="29" spans="1:13" s="34" customFormat="1" ht="16" x14ac:dyDescent="0.2">
      <c r="A29" s="50"/>
      <c r="B29" s="50"/>
      <c r="C29" s="50"/>
      <c r="D29" s="50"/>
      <c r="E29" s="50"/>
      <c r="F29" s="50"/>
      <c r="G29" s="33"/>
      <c r="H29" s="33"/>
      <c r="I29" s="33"/>
    </row>
    <row r="30" spans="1:13" s="34" customFormat="1" ht="16" x14ac:dyDescent="0.2">
      <c r="A30" s="50"/>
      <c r="B30" s="50"/>
      <c r="C30" s="50"/>
      <c r="D30" s="50"/>
      <c r="E30" s="50"/>
      <c r="F30" s="50"/>
      <c r="G30" s="33"/>
      <c r="H30" s="40"/>
      <c r="I30" s="41"/>
    </row>
    <row r="31" spans="1:13" s="34" customFormat="1" ht="16" x14ac:dyDescent="0.2">
      <c r="A31" s="50"/>
      <c r="B31" s="50"/>
      <c r="C31" s="50"/>
      <c r="D31" s="50"/>
      <c r="E31" s="50"/>
      <c r="F31" s="50"/>
      <c r="G31" s="33"/>
      <c r="H31" s="33"/>
      <c r="I31" s="37"/>
    </row>
    <row r="32" spans="1:13" s="34" customFormat="1" ht="16" x14ac:dyDescent="0.2">
      <c r="A32" s="50"/>
      <c r="B32" s="50"/>
      <c r="C32" s="50"/>
      <c r="D32" s="50"/>
      <c r="E32" s="50"/>
      <c r="F32" s="50"/>
      <c r="G32" s="33"/>
      <c r="H32" s="33"/>
      <c r="I32" s="37"/>
    </row>
    <row r="33" spans="1:9" s="34" customFormat="1" ht="16" x14ac:dyDescent="0.2">
      <c r="A33" s="50"/>
      <c r="B33" s="50"/>
      <c r="C33" s="50"/>
      <c r="D33" s="50"/>
      <c r="E33" s="50"/>
      <c r="F33" s="50"/>
      <c r="G33" s="33"/>
      <c r="H33" s="33"/>
      <c r="I33" s="33"/>
    </row>
    <row r="34" spans="1:9" s="34" customFormat="1" ht="16" x14ac:dyDescent="0.2">
      <c r="A34" s="50"/>
      <c r="B34" s="50"/>
      <c r="C34" s="50"/>
      <c r="D34" s="50"/>
      <c r="E34" s="50"/>
      <c r="F34" s="50"/>
      <c r="G34" s="33"/>
      <c r="H34" s="33"/>
      <c r="I34" s="33"/>
    </row>
    <row r="35" spans="1:9" s="34" customFormat="1" ht="16" x14ac:dyDescent="0.2">
      <c r="A35" s="50"/>
      <c r="B35" s="50"/>
      <c r="C35" s="50"/>
      <c r="D35" s="50"/>
      <c r="E35" s="50"/>
      <c r="F35" s="50"/>
      <c r="G35" s="33"/>
      <c r="H35" s="33"/>
      <c r="I35" s="33"/>
    </row>
    <row r="36" spans="1:9" s="34" customFormat="1" ht="19" customHeight="1" x14ac:dyDescent="0.2">
      <c r="A36" s="50"/>
      <c r="B36" s="50"/>
      <c r="C36" s="50"/>
      <c r="D36" s="50"/>
      <c r="E36" s="50"/>
      <c r="F36" s="50"/>
      <c r="G36" s="33"/>
      <c r="H36" s="33"/>
      <c r="I36" s="33"/>
    </row>
    <row r="37" spans="1:9" s="34" customFormat="1" ht="16" x14ac:dyDescent="0.2">
      <c r="A37" s="50"/>
      <c r="B37" s="50"/>
      <c r="C37" s="50"/>
      <c r="D37" s="50"/>
      <c r="E37" s="50"/>
      <c r="F37" s="50"/>
      <c r="G37" s="33"/>
      <c r="H37" s="33"/>
      <c r="I37" s="33"/>
    </row>
    <row r="38" spans="1:9" s="34" customFormat="1" ht="16" x14ac:dyDescent="0.2">
      <c r="A38" s="50"/>
      <c r="B38" s="50"/>
      <c r="C38" s="50"/>
      <c r="D38" s="50"/>
      <c r="E38" s="50"/>
      <c r="F38" s="50"/>
      <c r="G38" s="33"/>
      <c r="H38" s="33"/>
      <c r="I38" s="33"/>
    </row>
    <row r="39" spans="1:9" s="34" customFormat="1" ht="16" x14ac:dyDescent="0.2">
      <c r="A39" s="50"/>
      <c r="B39" s="50"/>
      <c r="C39" s="50"/>
      <c r="D39" s="50"/>
      <c r="E39" s="50"/>
      <c r="F39" s="50"/>
      <c r="G39" s="33"/>
      <c r="H39" s="33"/>
      <c r="I39" s="33"/>
    </row>
    <row r="40" spans="1:9" s="34" customFormat="1" ht="16" x14ac:dyDescent="0.2">
      <c r="A40" s="50"/>
      <c r="B40" s="50"/>
      <c r="C40" s="50"/>
      <c r="D40" s="50"/>
      <c r="E40" s="50"/>
      <c r="F40" s="50"/>
      <c r="G40" s="33"/>
      <c r="H40" s="33"/>
      <c r="I40" s="33"/>
    </row>
    <row r="41" spans="1:9" s="34" customFormat="1" ht="16" x14ac:dyDescent="0.2">
      <c r="A41" s="50"/>
      <c r="B41" s="50"/>
      <c r="C41" s="50"/>
      <c r="D41" s="50"/>
      <c r="E41" s="50"/>
      <c r="F41" s="50"/>
      <c r="G41" s="33"/>
      <c r="H41" s="33"/>
      <c r="I41" s="33"/>
    </row>
    <row r="42" spans="1:9" s="34" customFormat="1" ht="16" x14ac:dyDescent="0.2">
      <c r="A42" s="50"/>
      <c r="B42" s="50"/>
      <c r="C42" s="50"/>
      <c r="D42" s="50"/>
      <c r="E42" s="50"/>
      <c r="F42" s="50"/>
      <c r="G42" s="33"/>
      <c r="H42" s="33"/>
      <c r="I42" s="33"/>
    </row>
    <row r="43" spans="1:9" s="34" customFormat="1" ht="16" x14ac:dyDescent="0.2">
      <c r="A43" s="50"/>
      <c r="B43" s="50"/>
      <c r="C43" s="50"/>
      <c r="D43" s="50"/>
      <c r="E43" s="50"/>
      <c r="F43" s="50"/>
      <c r="G43" s="33"/>
      <c r="H43" s="33"/>
      <c r="I43" s="33"/>
    </row>
    <row r="44" spans="1:9" s="34" customFormat="1" ht="16" x14ac:dyDescent="0.2">
      <c r="A44" s="50"/>
      <c r="B44" s="50"/>
      <c r="C44" s="50"/>
      <c r="D44" s="50"/>
      <c r="E44" s="50"/>
      <c r="F44" s="50"/>
      <c r="G44" s="33"/>
      <c r="H44" s="33"/>
      <c r="I44" s="33"/>
    </row>
    <row r="45" spans="1:9" s="34" customFormat="1" ht="16" x14ac:dyDescent="0.2">
      <c r="A45" s="50"/>
      <c r="B45" s="50"/>
      <c r="C45" s="50"/>
      <c r="D45" s="50"/>
      <c r="E45" s="50"/>
      <c r="F45" s="50"/>
      <c r="G45" s="33"/>
      <c r="H45" s="33"/>
      <c r="I45" s="33"/>
    </row>
    <row r="46" spans="1:9" s="34" customFormat="1" ht="16" x14ac:dyDescent="0.2">
      <c r="A46" s="50"/>
      <c r="B46" s="50"/>
      <c r="C46" s="50"/>
      <c r="D46" s="50"/>
      <c r="E46" s="50"/>
      <c r="F46" s="50"/>
      <c r="G46" s="33"/>
      <c r="H46" s="33"/>
      <c r="I46" s="33"/>
    </row>
    <row r="47" spans="1:9" s="34" customFormat="1" ht="16" x14ac:dyDescent="0.2">
      <c r="A47" s="33"/>
      <c r="B47" s="33"/>
      <c r="C47" s="33"/>
      <c r="D47" s="33"/>
      <c r="E47" s="33"/>
      <c r="F47" s="33"/>
      <c r="G47" s="33"/>
      <c r="H47" s="33"/>
      <c r="I47" s="33"/>
    </row>
    <row r="48" spans="1:9" s="34" customFormat="1" ht="16" x14ac:dyDescent="0.2">
      <c r="A48" s="37"/>
      <c r="B48" s="37"/>
      <c r="C48" s="42"/>
      <c r="D48" s="42"/>
      <c r="E48" s="33"/>
      <c r="F48" s="33"/>
      <c r="G48" s="33"/>
      <c r="H48" s="33"/>
      <c r="I48" s="33"/>
    </row>
    <row r="49" spans="1:9" s="34" customFormat="1" ht="16" x14ac:dyDescent="0.2">
      <c r="A49" s="37"/>
      <c r="B49" s="37"/>
      <c r="C49" s="42"/>
      <c r="D49" s="42"/>
      <c r="E49" s="33"/>
      <c r="F49" s="33"/>
      <c r="G49" s="33"/>
      <c r="H49" s="33"/>
      <c r="I49" s="33"/>
    </row>
    <row r="50" spans="1:9" s="34" customFormat="1" ht="16" x14ac:dyDescent="0.2">
      <c r="A50" s="37"/>
      <c r="B50" s="33"/>
      <c r="C50" s="42"/>
      <c r="D50" s="42"/>
      <c r="E50" s="33"/>
      <c r="F50" s="33"/>
      <c r="G50" s="33"/>
      <c r="H50" s="33"/>
      <c r="I50" s="33"/>
    </row>
    <row r="51" spans="1:9" s="34" customFormat="1" ht="16" x14ac:dyDescent="0.2">
      <c r="A51" s="33"/>
      <c r="B51" s="33"/>
      <c r="C51" s="33"/>
      <c r="D51" s="33"/>
      <c r="E51" s="33"/>
      <c r="F51" s="33"/>
      <c r="G51" s="33"/>
      <c r="H51" s="33"/>
      <c r="I51" s="33"/>
    </row>
    <row r="52" spans="1:9" s="34" customFormat="1" ht="16" x14ac:dyDescent="0.2">
      <c r="A52" s="33"/>
      <c r="B52" s="33"/>
      <c r="C52" s="33"/>
      <c r="D52" s="33"/>
      <c r="E52" s="33"/>
      <c r="F52" s="33"/>
      <c r="G52" s="33"/>
      <c r="H52" s="33"/>
      <c r="I52" s="33"/>
    </row>
    <row r="53" spans="1:9" s="34" customFormat="1" ht="16" x14ac:dyDescent="0.2">
      <c r="A53" s="37"/>
      <c r="B53" s="33"/>
      <c r="C53" s="33"/>
      <c r="D53" s="33"/>
      <c r="E53" s="33"/>
      <c r="F53" s="33"/>
      <c r="G53" s="33"/>
      <c r="H53" s="33"/>
      <c r="I53" s="33"/>
    </row>
  </sheetData>
  <mergeCells count="2">
    <mergeCell ref="H10:I10"/>
    <mergeCell ref="A1:F46"/>
  </mergeCells>
  <pageMargins left="0.7" right="0.7" top="0.75" bottom="0.75" header="0.3" footer="0.3"/>
  <pageSetup scale="64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3"/>
  <sheetViews>
    <sheetView tabSelected="1" workbookViewId="0">
      <selection activeCell="E10" sqref="E10:F10"/>
    </sheetView>
  </sheetViews>
  <sheetFormatPr baseColWidth="10" defaultColWidth="8.83203125" defaultRowHeight="15" x14ac:dyDescent="0.2"/>
  <cols>
    <col min="1" max="1" width="32.83203125" style="7" customWidth="1"/>
    <col min="2" max="2" width="8.83203125" style="7"/>
    <col min="3" max="3" width="9.5" style="7" bestFit="1" customWidth="1"/>
    <col min="4" max="4" width="14.6640625" style="7" bestFit="1" customWidth="1"/>
    <col min="5" max="5" width="32.83203125" style="7" bestFit="1" customWidth="1"/>
    <col min="6" max="6" width="8.83203125" style="7" customWidth="1"/>
    <col min="7" max="7" width="9.5" style="7" customWidth="1"/>
    <col min="8" max="8" width="32.83203125" style="7" bestFit="1" customWidth="1"/>
    <col min="9" max="9" width="8.83203125" style="7"/>
  </cols>
  <sheetData>
    <row r="1" spans="1:13" s="44" customFormat="1" ht="50" customHeight="1" x14ac:dyDescent="0.2">
      <c r="A1" s="43" t="s">
        <v>97</v>
      </c>
    </row>
    <row r="3" spans="1:13" ht="19" x14ac:dyDescent="0.2">
      <c r="A3" s="6" t="s">
        <v>92</v>
      </c>
    </row>
    <row r="4" spans="1:13" s="4" customFormat="1" ht="16" x14ac:dyDescent="0.2">
      <c r="A4" s="8" t="s">
        <v>98</v>
      </c>
      <c r="B4" s="8"/>
      <c r="C4" s="8"/>
      <c r="D4" s="8"/>
      <c r="E4" s="8"/>
      <c r="F4" s="8"/>
      <c r="G4" s="8"/>
      <c r="H4" s="8"/>
      <c r="I4" s="8"/>
    </row>
    <row r="5" spans="1:13" s="4" customFormat="1" ht="16" x14ac:dyDescent="0.2">
      <c r="A5" s="8"/>
      <c r="B5" s="8"/>
      <c r="C5" s="8"/>
      <c r="D5" s="8"/>
      <c r="E5" s="8"/>
      <c r="F5" s="8"/>
      <c r="G5" s="8"/>
      <c r="H5" s="8"/>
      <c r="I5" s="8"/>
    </row>
    <row r="6" spans="1:13" s="4" customFormat="1" ht="19" x14ac:dyDescent="0.2">
      <c r="A6" s="6" t="s">
        <v>99</v>
      </c>
      <c r="B6" s="8"/>
      <c r="C6" s="8"/>
      <c r="D6" s="8"/>
      <c r="E6" s="8"/>
      <c r="F6" s="8"/>
      <c r="G6" s="8"/>
      <c r="H6" s="8"/>
      <c r="I6" s="8"/>
    </row>
    <row r="7" spans="1:13" s="4" customFormat="1" ht="16" x14ac:dyDescent="0.2">
      <c r="A7" s="8" t="s">
        <v>87</v>
      </c>
      <c r="B7" s="9"/>
      <c r="C7" s="8"/>
      <c r="D7" s="8"/>
      <c r="E7" s="8"/>
      <c r="F7" s="8"/>
      <c r="G7" s="8"/>
      <c r="H7" s="8"/>
      <c r="I7" s="10"/>
    </row>
    <row r="8" spans="1:13" s="4" customFormat="1" ht="16" x14ac:dyDescent="0.2">
      <c r="A8" s="8"/>
      <c r="B8" s="8"/>
      <c r="C8" s="8"/>
      <c r="D8" s="8"/>
      <c r="E8" s="8"/>
      <c r="F8" s="8"/>
      <c r="G8" s="8"/>
      <c r="H8" s="8"/>
      <c r="I8" s="8"/>
    </row>
    <row r="9" spans="1:13" s="4" customFormat="1" ht="16" x14ac:dyDescent="0.2">
      <c r="A9" s="8"/>
      <c r="B9" s="8"/>
      <c r="C9" s="8"/>
      <c r="D9" s="8"/>
      <c r="E9" s="8"/>
      <c r="F9" s="8"/>
      <c r="G9" s="8"/>
      <c r="H9" s="8"/>
      <c r="I9" s="8"/>
    </row>
    <row r="10" spans="1:13" s="4" customFormat="1" ht="19" x14ac:dyDescent="0.2">
      <c r="A10" s="47" t="s">
        <v>79</v>
      </c>
      <c r="B10" s="48"/>
      <c r="C10" s="8"/>
      <c r="D10" s="8"/>
      <c r="E10" s="47" t="s">
        <v>80</v>
      </c>
      <c r="F10" s="48"/>
      <c r="G10" s="8"/>
      <c r="H10" s="47" t="s">
        <v>83</v>
      </c>
      <c r="I10" s="48"/>
    </row>
    <row r="11" spans="1:13" s="4" customFormat="1" ht="16" x14ac:dyDescent="0.2">
      <c r="A11" s="8" t="s">
        <v>72</v>
      </c>
      <c r="B11" s="9"/>
      <c r="C11" s="8"/>
      <c r="D11" s="8"/>
      <c r="E11" s="8" t="s">
        <v>72</v>
      </c>
      <c r="F11" s="9"/>
      <c r="G11" s="8"/>
      <c r="H11" s="8" t="s">
        <v>72</v>
      </c>
      <c r="I11" s="9"/>
    </row>
    <row r="12" spans="1:13" s="4" customFormat="1" ht="16" x14ac:dyDescent="0.2">
      <c r="A12" s="8" t="s">
        <v>0</v>
      </c>
      <c r="B12" s="9"/>
      <c r="C12" s="8"/>
      <c r="D12" s="8"/>
      <c r="E12" s="8" t="s">
        <v>0</v>
      </c>
      <c r="F12" s="9"/>
      <c r="G12" s="8"/>
      <c r="H12" s="8" t="s">
        <v>0</v>
      </c>
      <c r="I12" s="9"/>
    </row>
    <row r="13" spans="1:13" s="4" customFormat="1" ht="16" x14ac:dyDescent="0.2">
      <c r="A13" s="8" t="s">
        <v>1</v>
      </c>
      <c r="B13" s="9"/>
      <c r="C13" s="8"/>
      <c r="D13" s="8"/>
      <c r="E13" s="8" t="s">
        <v>1</v>
      </c>
      <c r="F13" s="9"/>
      <c r="G13" s="8"/>
      <c r="H13" s="8" t="s">
        <v>1</v>
      </c>
      <c r="I13" s="9"/>
    </row>
    <row r="14" spans="1:13" s="4" customFormat="1" ht="16" x14ac:dyDescent="0.2">
      <c r="A14" s="8" t="s">
        <v>78</v>
      </c>
      <c r="B14" s="11"/>
      <c r="C14" s="8"/>
      <c r="D14" s="8"/>
      <c r="E14" s="8" t="s">
        <v>78</v>
      </c>
      <c r="F14" s="9"/>
      <c r="G14" s="8"/>
      <c r="H14" s="8" t="s">
        <v>78</v>
      </c>
      <c r="I14" s="9"/>
    </row>
    <row r="15" spans="1:13" s="4" customFormat="1" ht="34" x14ac:dyDescent="0.2">
      <c r="A15" s="12" t="s">
        <v>88</v>
      </c>
      <c r="B15" s="9"/>
      <c r="C15" s="8"/>
      <c r="D15" s="8"/>
      <c r="E15" s="12" t="s">
        <v>95</v>
      </c>
      <c r="F15" s="9"/>
      <c r="G15" s="8"/>
      <c r="H15" s="12" t="s">
        <v>88</v>
      </c>
      <c r="I15" s="9"/>
    </row>
    <row r="16" spans="1:13" s="4" customFormat="1" ht="16" x14ac:dyDescent="0.2">
      <c r="A16" s="8" t="s">
        <v>86</v>
      </c>
      <c r="B16" s="9"/>
      <c r="C16" s="13"/>
      <c r="D16" s="13"/>
      <c r="E16" s="8" t="s">
        <v>86</v>
      </c>
      <c r="F16" s="9"/>
      <c r="G16" s="8"/>
      <c r="H16" s="8" t="s">
        <v>86</v>
      </c>
      <c r="I16" s="9"/>
      <c r="J16" s="5"/>
      <c r="K16" s="5"/>
      <c r="L16" s="5"/>
      <c r="M16" s="5"/>
    </row>
    <row r="17" spans="1:13" s="4" customFormat="1" ht="16" x14ac:dyDescent="0.2">
      <c r="A17" s="8"/>
      <c r="B17" s="8"/>
      <c r="C17" s="13"/>
      <c r="D17" s="13"/>
      <c r="E17" s="8"/>
      <c r="F17" s="8"/>
      <c r="G17" s="8"/>
      <c r="H17" s="8"/>
      <c r="I17" s="8"/>
      <c r="J17" s="5"/>
      <c r="K17" s="5"/>
      <c r="L17" s="5"/>
      <c r="M17" s="5"/>
    </row>
    <row r="18" spans="1:13" s="4" customFormat="1" ht="19" x14ac:dyDescent="0.2">
      <c r="A18" s="6" t="s">
        <v>77</v>
      </c>
      <c r="B18" s="8"/>
      <c r="C18" s="8"/>
      <c r="D18" s="8"/>
      <c r="E18" s="6" t="s">
        <v>77</v>
      </c>
      <c r="F18" s="8"/>
      <c r="G18" s="8"/>
      <c r="H18" s="6" t="s">
        <v>77</v>
      </c>
      <c r="I18" s="8"/>
    </row>
    <row r="19" spans="1:13" s="4" customFormat="1" ht="16" x14ac:dyDescent="0.2">
      <c r="A19" s="8" t="s">
        <v>73</v>
      </c>
      <c r="B19" s="13" t="e">
        <f>(B11*0.4085)/(B12*B12)</f>
        <v>#DIV/0!</v>
      </c>
      <c r="C19" s="8"/>
      <c r="D19" s="8"/>
      <c r="E19" s="8" t="s">
        <v>73</v>
      </c>
      <c r="F19" s="13" t="e">
        <f>((F11*0.4085)/(F12*F12))</f>
        <v>#DIV/0!</v>
      </c>
      <c r="G19" s="8"/>
      <c r="H19" s="8" t="s">
        <v>73</v>
      </c>
      <c r="I19" s="13" t="e">
        <f>(I11*0.4085)/(I12*I12)</f>
        <v>#DIV/0!</v>
      </c>
    </row>
    <row r="20" spans="1:13" s="4" customFormat="1" ht="16" x14ac:dyDescent="0.2">
      <c r="A20" s="8" t="s">
        <v>74</v>
      </c>
      <c r="B20" s="13" t="e">
        <f>(B19*B19)/64.4</f>
        <v>#DIV/0!</v>
      </c>
      <c r="C20" s="8"/>
      <c r="D20" s="8"/>
      <c r="E20" s="8" t="s">
        <v>74</v>
      </c>
      <c r="F20" s="13" t="e">
        <f>(F19*F19)/64.4</f>
        <v>#DIV/0!</v>
      </c>
      <c r="G20" s="8"/>
      <c r="H20" s="8" t="s">
        <v>74</v>
      </c>
      <c r="I20" s="13" t="e">
        <f>(I19*I19)/64.4</f>
        <v>#DIV/0!</v>
      </c>
    </row>
    <row r="21" spans="1:13" s="4" customFormat="1" ht="16" x14ac:dyDescent="0.2">
      <c r="A21" s="8" t="s">
        <v>75</v>
      </c>
      <c r="B21" s="13" t="e">
        <f>(0.2083*((100/B14)^1.852)*(B11^1.852))/B12^4.8655</f>
        <v>#DIV/0!</v>
      </c>
      <c r="C21" s="8"/>
      <c r="D21" s="8"/>
      <c r="E21" s="8" t="s">
        <v>75</v>
      </c>
      <c r="F21" s="13" t="e">
        <f>(0.2083*((100/F14)^1.852)*(F11^1.852))/F12^4.8655</f>
        <v>#DIV/0!</v>
      </c>
      <c r="G21" s="8"/>
      <c r="H21" s="8" t="s">
        <v>75</v>
      </c>
      <c r="I21" s="13" t="e">
        <f>((0.2083*((100/I14)^1.852)*(I11^1.852))/I12^4.8655)</f>
        <v>#DIV/0!</v>
      </c>
    </row>
    <row r="22" spans="1:13" s="4" customFormat="1" ht="16" x14ac:dyDescent="0.2">
      <c r="A22" s="8" t="s">
        <v>2</v>
      </c>
      <c r="B22" s="13" t="e">
        <f>(B13/100)*B21</f>
        <v>#DIV/0!</v>
      </c>
      <c r="C22" s="8"/>
      <c r="D22" s="8"/>
      <c r="E22" s="8" t="s">
        <v>2</v>
      </c>
      <c r="F22" s="13" t="e">
        <f>(F13/100)*F21</f>
        <v>#DIV/0!</v>
      </c>
      <c r="G22" s="8"/>
      <c r="H22" s="8" t="s">
        <v>2</v>
      </c>
      <c r="I22" s="13" t="e">
        <f>(I13/100)*I21</f>
        <v>#DIV/0!</v>
      </c>
    </row>
    <row r="23" spans="1:13" s="4" customFormat="1" ht="16" x14ac:dyDescent="0.2">
      <c r="A23" s="8" t="s">
        <v>96</v>
      </c>
      <c r="B23" s="13" t="e">
        <f>(B15*2.31)/$B$7</f>
        <v>#DIV/0!</v>
      </c>
      <c r="C23" s="8"/>
      <c r="D23" s="8"/>
      <c r="E23" s="8" t="s">
        <v>96</v>
      </c>
      <c r="F23" s="13" t="e">
        <f>(F15*2.31)/$B$7</f>
        <v>#DIV/0!</v>
      </c>
      <c r="G23" s="8"/>
      <c r="H23" s="8" t="s">
        <v>96</v>
      </c>
      <c r="I23" s="13" t="e">
        <f>(I15*2.31)/$B$7</f>
        <v>#DIV/0!</v>
      </c>
    </row>
    <row r="24" spans="1:13" s="4" customFormat="1" ht="16" x14ac:dyDescent="0.2">
      <c r="A24" s="8" t="s">
        <v>76</v>
      </c>
      <c r="B24" s="13">
        <f>('Fitting Calculations'!Q20)</f>
        <v>118.52</v>
      </c>
      <c r="C24" s="8"/>
      <c r="D24" s="8"/>
      <c r="E24" s="8" t="s">
        <v>76</v>
      </c>
      <c r="F24" s="13">
        <f>('Fitting Calculations'!Q47)</f>
        <v>43.08</v>
      </c>
      <c r="G24" s="8"/>
      <c r="H24" s="8" t="s">
        <v>76</v>
      </c>
      <c r="I24" s="13">
        <f>('Fitting Calculations'!Q74)</f>
        <v>149.29999999999998</v>
      </c>
    </row>
    <row r="25" spans="1:13" s="4" customFormat="1" ht="16" x14ac:dyDescent="0.2">
      <c r="A25" s="8" t="s">
        <v>35</v>
      </c>
      <c r="B25" s="13" t="e">
        <f>((B24+B23)/100)*B21</f>
        <v>#DIV/0!</v>
      </c>
      <c r="C25" s="8"/>
      <c r="D25" s="8"/>
      <c r="E25" s="8" t="s">
        <v>35</v>
      </c>
      <c r="F25" s="13" t="e">
        <f>((F24+F23)/100)*F21</f>
        <v>#DIV/0!</v>
      </c>
      <c r="G25" s="8"/>
      <c r="H25" s="8" t="s">
        <v>35</v>
      </c>
      <c r="I25" s="13" t="e">
        <f>((I24+I23)/100)*I21</f>
        <v>#DIV/0!</v>
      </c>
    </row>
    <row r="26" spans="1:13" s="4" customFormat="1" ht="16" x14ac:dyDescent="0.2">
      <c r="A26" s="8"/>
      <c r="B26" s="8"/>
      <c r="C26" s="8"/>
      <c r="D26" s="8"/>
      <c r="E26" s="8"/>
      <c r="F26" s="8"/>
      <c r="G26" s="8"/>
      <c r="H26" s="8"/>
      <c r="I26" s="8"/>
    </row>
    <row r="27" spans="1:13" s="4" customFormat="1" ht="16" x14ac:dyDescent="0.2">
      <c r="A27" s="8"/>
      <c r="B27" s="8"/>
      <c r="C27" s="8"/>
      <c r="D27" s="8"/>
      <c r="E27" s="8"/>
      <c r="F27" s="8"/>
      <c r="G27" s="8"/>
      <c r="H27" s="8"/>
      <c r="I27" s="8"/>
    </row>
    <row r="28" spans="1:13" s="4" customFormat="1" ht="16" x14ac:dyDescent="0.2">
      <c r="A28" s="20" t="s">
        <v>81</v>
      </c>
      <c r="B28" s="13" t="e">
        <f>B22+B25+B23</f>
        <v>#DIV/0!</v>
      </c>
      <c r="C28" s="8"/>
      <c r="D28" s="8"/>
      <c r="E28" s="20" t="s">
        <v>82</v>
      </c>
      <c r="F28" s="13" t="e">
        <f>F22+F25</f>
        <v>#DIV/0!</v>
      </c>
      <c r="G28" s="8"/>
      <c r="H28" s="20" t="s">
        <v>84</v>
      </c>
      <c r="I28" s="13" t="e">
        <f>I22+I25</f>
        <v>#DIV/0!</v>
      </c>
    </row>
    <row r="29" spans="1:13" s="4" customFormat="1" ht="16" x14ac:dyDescent="0.2">
      <c r="A29" s="8"/>
      <c r="B29" s="8"/>
      <c r="C29" s="8"/>
      <c r="D29" s="8"/>
      <c r="E29" s="8"/>
      <c r="F29" s="8"/>
      <c r="G29" s="8"/>
      <c r="H29" s="8"/>
      <c r="I29" s="8"/>
    </row>
    <row r="30" spans="1:13" s="4" customFormat="1" ht="16" x14ac:dyDescent="0.2">
      <c r="A30" s="21" t="s">
        <v>85</v>
      </c>
      <c r="B30" s="22" t="e">
        <f>SUM(B16+B28)</f>
        <v>#DIV/0!</v>
      </c>
      <c r="C30" s="8"/>
      <c r="D30" s="8"/>
      <c r="E30" s="21" t="s">
        <v>89</v>
      </c>
      <c r="F30" s="22" t="e">
        <f>SUM(F16+F28)</f>
        <v>#DIV/0!</v>
      </c>
      <c r="G30" s="8"/>
      <c r="H30" s="21" t="s">
        <v>90</v>
      </c>
      <c r="I30" s="22" t="e">
        <f>SUM(I16+I28)</f>
        <v>#DIV/0!</v>
      </c>
    </row>
    <row r="31" spans="1:13" s="4" customFormat="1" ht="16" x14ac:dyDescent="0.2">
      <c r="A31" s="8"/>
      <c r="B31" s="8"/>
      <c r="C31" s="8"/>
      <c r="D31" s="8"/>
      <c r="E31" s="14"/>
      <c r="F31" s="15"/>
      <c r="G31" s="8"/>
      <c r="H31" s="14"/>
      <c r="I31" s="15"/>
    </row>
    <row r="32" spans="1:13" s="4" customFormat="1" ht="16" x14ac:dyDescent="0.2">
      <c r="A32" s="8" t="s">
        <v>91</v>
      </c>
      <c r="B32" s="13" t="e">
        <f>B30*$B$7/2.31</f>
        <v>#DIV/0!</v>
      </c>
      <c r="C32" s="8"/>
      <c r="D32" s="8"/>
      <c r="E32" s="8" t="s">
        <v>93</v>
      </c>
      <c r="F32" s="13" t="e">
        <f>F30*$B$7/2.31</f>
        <v>#DIV/0!</v>
      </c>
      <c r="G32" s="8"/>
      <c r="H32" s="8" t="s">
        <v>94</v>
      </c>
      <c r="I32" s="13" t="e">
        <f>I30*$B$7/2.31</f>
        <v>#DIV/0!</v>
      </c>
    </row>
    <row r="33" spans="1:9" s="4" customFormat="1" ht="16" x14ac:dyDescent="0.2">
      <c r="A33" s="8"/>
      <c r="B33" s="8"/>
      <c r="C33" s="8"/>
      <c r="D33" s="8"/>
      <c r="E33" s="8"/>
      <c r="F33" s="8"/>
      <c r="G33" s="8"/>
      <c r="H33" s="8"/>
      <c r="I33" s="8"/>
    </row>
    <row r="34" spans="1:9" s="4" customFormat="1" ht="16" x14ac:dyDescent="0.2">
      <c r="A34" s="8"/>
      <c r="B34" s="8"/>
      <c r="C34" s="8"/>
      <c r="D34" s="8"/>
      <c r="E34" s="8"/>
      <c r="F34" s="8"/>
      <c r="G34" s="8"/>
      <c r="H34" s="8"/>
      <c r="I34" s="8"/>
    </row>
    <row r="35" spans="1:9" s="4" customFormat="1" ht="16" x14ac:dyDescent="0.2">
      <c r="A35" s="8"/>
      <c r="B35" s="8"/>
      <c r="C35" s="8"/>
      <c r="D35" s="8"/>
      <c r="E35" s="16"/>
      <c r="F35" s="8"/>
      <c r="G35" s="8"/>
      <c r="H35" s="8"/>
      <c r="I35" s="8"/>
    </row>
    <row r="36" spans="1:9" s="4" customFormat="1" ht="19" x14ac:dyDescent="0.2">
      <c r="A36" s="23" t="s">
        <v>100</v>
      </c>
      <c r="B36" s="8"/>
      <c r="C36" s="8"/>
      <c r="D36" s="8"/>
      <c r="E36" s="8"/>
      <c r="F36" s="8"/>
      <c r="G36" s="8"/>
      <c r="H36" s="8"/>
      <c r="I36" s="8"/>
    </row>
    <row r="37" spans="1:9" s="4" customFormat="1" ht="17" x14ac:dyDescent="0.2">
      <c r="A37" s="24" t="s">
        <v>3</v>
      </c>
      <c r="B37" s="24" t="s">
        <v>4</v>
      </c>
      <c r="C37" s="24" t="s">
        <v>5</v>
      </c>
      <c r="D37" s="25" t="s">
        <v>6</v>
      </c>
      <c r="E37" s="8"/>
      <c r="F37" s="8"/>
      <c r="G37" s="8"/>
      <c r="H37" s="8"/>
      <c r="I37" s="8"/>
    </row>
    <row r="38" spans="1:9" s="4" customFormat="1" ht="16" x14ac:dyDescent="0.2">
      <c r="A38" s="17" t="s">
        <v>18</v>
      </c>
      <c r="B38" s="17" t="s">
        <v>9</v>
      </c>
      <c r="C38" s="17">
        <v>130</v>
      </c>
      <c r="D38" s="17">
        <v>100</v>
      </c>
      <c r="E38" s="8"/>
      <c r="F38" s="8"/>
      <c r="G38" s="8"/>
      <c r="H38" s="8"/>
      <c r="I38" s="8"/>
    </row>
    <row r="39" spans="1:9" s="4" customFormat="1" ht="16" x14ac:dyDescent="0.2">
      <c r="A39" s="17" t="s">
        <v>19</v>
      </c>
      <c r="B39" s="17" t="s">
        <v>20</v>
      </c>
      <c r="C39" s="17"/>
      <c r="D39" s="17"/>
      <c r="E39" s="8"/>
      <c r="F39" s="8"/>
      <c r="G39" s="8"/>
      <c r="H39" s="8"/>
      <c r="I39" s="8"/>
    </row>
    <row r="40" spans="1:9" s="4" customFormat="1" ht="16" x14ac:dyDescent="0.2">
      <c r="A40" s="17" t="s">
        <v>21</v>
      </c>
      <c r="B40" s="17" t="s">
        <v>22</v>
      </c>
      <c r="C40" s="17"/>
      <c r="D40" s="17"/>
      <c r="E40" s="8"/>
      <c r="F40" s="8"/>
      <c r="G40" s="8"/>
      <c r="H40" s="8"/>
      <c r="I40" s="8"/>
    </row>
    <row r="41" spans="1:9" s="4" customFormat="1" ht="16" x14ac:dyDescent="0.2">
      <c r="A41" s="17" t="s">
        <v>23</v>
      </c>
      <c r="B41" s="17" t="s">
        <v>24</v>
      </c>
      <c r="C41" s="17"/>
      <c r="D41" s="17"/>
      <c r="E41" s="8"/>
      <c r="F41" s="8"/>
      <c r="G41" s="8"/>
      <c r="H41" s="8"/>
      <c r="I41" s="8"/>
    </row>
    <row r="42" spans="1:9" s="4" customFormat="1" ht="16" x14ac:dyDescent="0.2">
      <c r="A42" s="17" t="s">
        <v>25</v>
      </c>
      <c r="B42" s="17" t="s">
        <v>26</v>
      </c>
      <c r="C42" s="17"/>
      <c r="D42" s="17"/>
      <c r="E42" s="8"/>
      <c r="F42" s="8"/>
      <c r="G42" s="8"/>
      <c r="H42" s="8"/>
      <c r="I42" s="8"/>
    </row>
    <row r="43" spans="1:9" s="4" customFormat="1" ht="16" x14ac:dyDescent="0.2">
      <c r="A43" s="17" t="s">
        <v>8</v>
      </c>
      <c r="B43" s="18" t="s">
        <v>14</v>
      </c>
      <c r="C43" s="19">
        <v>130</v>
      </c>
      <c r="D43" s="19">
        <v>100</v>
      </c>
      <c r="E43" s="8"/>
      <c r="F43" s="8"/>
      <c r="G43" s="8"/>
      <c r="H43" s="8"/>
      <c r="I43" s="8"/>
    </row>
    <row r="44" spans="1:9" s="4" customFormat="1" ht="16" x14ac:dyDescent="0.2">
      <c r="A44" s="17" t="s">
        <v>27</v>
      </c>
      <c r="B44" s="17" t="s">
        <v>9</v>
      </c>
      <c r="C44" s="17">
        <v>130</v>
      </c>
      <c r="D44" s="17">
        <v>100</v>
      </c>
      <c r="E44" s="8"/>
      <c r="F44" s="8"/>
      <c r="G44" s="8"/>
      <c r="H44" s="8"/>
      <c r="I44" s="8"/>
    </row>
    <row r="45" spans="1:9" s="4" customFormat="1" ht="16" x14ac:dyDescent="0.2">
      <c r="A45" s="17" t="s">
        <v>17</v>
      </c>
      <c r="B45" s="17"/>
      <c r="C45" s="19">
        <v>60</v>
      </c>
      <c r="D45" s="19">
        <v>60</v>
      </c>
      <c r="E45" s="8"/>
      <c r="F45" s="8"/>
      <c r="G45" s="8"/>
      <c r="H45" s="8"/>
      <c r="I45" s="8"/>
    </row>
    <row r="46" spans="1:9" s="4" customFormat="1" ht="16" x14ac:dyDescent="0.2">
      <c r="A46" s="17" t="s">
        <v>28</v>
      </c>
      <c r="B46" s="17" t="s">
        <v>13</v>
      </c>
      <c r="C46" s="17">
        <v>148</v>
      </c>
      <c r="D46" s="17">
        <v>140</v>
      </c>
      <c r="E46" s="8"/>
      <c r="F46" s="8"/>
      <c r="G46" s="8"/>
      <c r="H46" s="8"/>
      <c r="I46" s="8"/>
    </row>
    <row r="47" spans="1:9" s="4" customFormat="1" ht="16" x14ac:dyDescent="0.2">
      <c r="A47" s="17" t="s">
        <v>29</v>
      </c>
      <c r="B47" s="17" t="s">
        <v>30</v>
      </c>
      <c r="C47" s="17"/>
      <c r="D47" s="17"/>
      <c r="E47" s="8"/>
      <c r="F47" s="8"/>
      <c r="G47" s="8"/>
      <c r="H47" s="8"/>
      <c r="I47" s="8"/>
    </row>
    <row r="48" spans="1:9" s="4" customFormat="1" ht="16" x14ac:dyDescent="0.2">
      <c r="A48" s="18" t="s">
        <v>11</v>
      </c>
      <c r="B48" s="18" t="s">
        <v>15</v>
      </c>
      <c r="C48" s="19">
        <v>140</v>
      </c>
      <c r="D48" s="19">
        <v>130</v>
      </c>
      <c r="E48" s="8"/>
      <c r="F48" s="8"/>
      <c r="G48" s="8"/>
      <c r="H48" s="8"/>
      <c r="I48" s="8"/>
    </row>
    <row r="49" spans="1:9" s="4" customFormat="1" ht="16" x14ac:dyDescent="0.2">
      <c r="A49" s="18" t="s">
        <v>31</v>
      </c>
      <c r="B49" s="18" t="s">
        <v>32</v>
      </c>
      <c r="C49" s="19"/>
      <c r="D49" s="19"/>
      <c r="E49" s="8"/>
      <c r="F49" s="8"/>
      <c r="G49" s="8"/>
      <c r="H49" s="8"/>
      <c r="I49" s="8"/>
    </row>
    <row r="50" spans="1:9" s="4" customFormat="1" ht="16" x14ac:dyDescent="0.2">
      <c r="A50" s="18" t="s">
        <v>7</v>
      </c>
      <c r="B50" s="17" t="s">
        <v>16</v>
      </c>
      <c r="C50" s="19">
        <v>120</v>
      </c>
      <c r="D50" s="19">
        <v>100</v>
      </c>
      <c r="E50" s="8"/>
      <c r="F50" s="8"/>
      <c r="G50" s="8"/>
      <c r="H50" s="8"/>
      <c r="I50" s="8"/>
    </row>
    <row r="51" spans="1:9" s="4" customFormat="1" ht="16" x14ac:dyDescent="0.2">
      <c r="A51" s="17" t="s">
        <v>33</v>
      </c>
      <c r="B51" s="17">
        <v>140</v>
      </c>
      <c r="C51" s="17"/>
      <c r="D51" s="17"/>
      <c r="E51" s="8"/>
      <c r="F51" s="8"/>
      <c r="G51" s="8"/>
      <c r="H51" s="8"/>
      <c r="I51" s="8"/>
    </row>
    <row r="52" spans="1:9" s="4" customFormat="1" ht="16" x14ac:dyDescent="0.2">
      <c r="A52" s="17" t="s">
        <v>10</v>
      </c>
      <c r="B52" s="17" t="s">
        <v>12</v>
      </c>
      <c r="C52" s="17">
        <v>155</v>
      </c>
      <c r="D52" s="17">
        <v>150</v>
      </c>
      <c r="E52" s="8"/>
      <c r="F52" s="8"/>
      <c r="G52" s="8"/>
      <c r="H52" s="8"/>
      <c r="I52" s="8"/>
    </row>
    <row r="53" spans="1:9" s="4" customFormat="1" ht="16" x14ac:dyDescent="0.2">
      <c r="A53" s="18" t="s">
        <v>34</v>
      </c>
      <c r="B53" s="17">
        <v>140</v>
      </c>
      <c r="C53" s="17"/>
      <c r="D53" s="17"/>
      <c r="E53" s="8"/>
      <c r="F53" s="8"/>
      <c r="G53" s="8"/>
      <c r="H53" s="8"/>
      <c r="I53" s="8"/>
    </row>
  </sheetData>
  <mergeCells count="4">
    <mergeCell ref="A10:B10"/>
    <mergeCell ref="E10:F10"/>
    <mergeCell ref="H10:I10"/>
    <mergeCell ref="A1:XFD1"/>
  </mergeCells>
  <pageMargins left="0.7" right="0.7" top="0.75" bottom="0.75" header="0.3" footer="0.3"/>
  <pageSetup scale="64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86"/>
  <sheetViews>
    <sheetView workbookViewId="0">
      <selection activeCell="AC61" sqref="AC61"/>
    </sheetView>
  </sheetViews>
  <sheetFormatPr baseColWidth="10" defaultColWidth="8.83203125" defaultRowHeight="15" x14ac:dyDescent="0.2"/>
  <cols>
    <col min="1" max="1" width="24.6640625" customWidth="1"/>
    <col min="2" max="15" width="4.6640625" style="1" customWidth="1"/>
    <col min="16" max="16" width="4.6640625" customWidth="1"/>
  </cols>
  <sheetData>
    <row r="1" spans="1:17" s="44" customFormat="1" ht="50" customHeight="1" x14ac:dyDescent="0.2">
      <c r="A1" s="43" t="s">
        <v>101</v>
      </c>
    </row>
    <row r="2" spans="1:17" x14ac:dyDescent="0.2">
      <c r="Q2" s="3"/>
    </row>
    <row r="3" spans="1:17" s="8" customFormat="1" ht="19" x14ac:dyDescent="0.2">
      <c r="A3" s="6" t="s">
        <v>36</v>
      </c>
    </row>
    <row r="4" spans="1:17" s="8" customFormat="1" ht="16" x14ac:dyDescent="0.2">
      <c r="A4" s="8" t="s">
        <v>102</v>
      </c>
    </row>
    <row r="5" spans="1:17" s="8" customFormat="1" ht="16" x14ac:dyDescent="0.2"/>
    <row r="6" spans="1:17" s="8" customFormat="1" ht="19" x14ac:dyDescent="0.2">
      <c r="A6" s="6" t="s">
        <v>79</v>
      </c>
    </row>
    <row r="7" spans="1:17" s="8" customFormat="1" ht="16" x14ac:dyDescent="0.2">
      <c r="A7" s="8" t="s">
        <v>71</v>
      </c>
      <c r="B7" s="8" t="s">
        <v>37</v>
      </c>
      <c r="C7" s="8" t="s">
        <v>38</v>
      </c>
      <c r="D7" s="8" t="s">
        <v>39</v>
      </c>
      <c r="E7" s="8" t="s">
        <v>40</v>
      </c>
      <c r="F7" s="8" t="s">
        <v>41</v>
      </c>
      <c r="G7" s="8" t="s">
        <v>42</v>
      </c>
      <c r="H7" s="8" t="s">
        <v>43</v>
      </c>
      <c r="I7" s="8" t="s">
        <v>44</v>
      </c>
      <c r="J7" s="8" t="s">
        <v>45</v>
      </c>
      <c r="K7" s="8" t="s">
        <v>46</v>
      </c>
      <c r="L7" s="8" t="s">
        <v>47</v>
      </c>
      <c r="M7" s="8" t="s">
        <v>60</v>
      </c>
      <c r="N7" s="8" t="s">
        <v>48</v>
      </c>
      <c r="O7" s="8" t="s">
        <v>49</v>
      </c>
    </row>
    <row r="8" spans="1:17" s="8" customFormat="1" ht="16" x14ac:dyDescent="0.2">
      <c r="A8" s="8" t="s">
        <v>50</v>
      </c>
      <c r="B8" s="9"/>
      <c r="C8" s="9"/>
      <c r="D8" s="9"/>
      <c r="E8" s="9"/>
      <c r="F8" s="9"/>
      <c r="G8" s="9"/>
      <c r="H8" s="9">
        <v>2</v>
      </c>
      <c r="I8" s="9"/>
      <c r="J8" s="9"/>
      <c r="K8" s="9"/>
      <c r="L8" s="9"/>
      <c r="M8" s="9"/>
      <c r="N8" s="9"/>
      <c r="O8" s="9"/>
      <c r="Q8" s="26">
        <f>SUM(B21:O21)</f>
        <v>40</v>
      </c>
    </row>
    <row r="9" spans="1:17" s="8" customFormat="1" ht="16" x14ac:dyDescent="0.2">
      <c r="A9" s="8" t="s">
        <v>51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Q9" s="26">
        <f t="shared" ref="Q9:Q17" si="0">SUM(B22:O22)</f>
        <v>0</v>
      </c>
    </row>
    <row r="10" spans="1:17" s="8" customFormat="1" ht="16" x14ac:dyDescent="0.2">
      <c r="A10" s="8" t="s">
        <v>52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Q10" s="26">
        <f t="shared" si="0"/>
        <v>0</v>
      </c>
    </row>
    <row r="11" spans="1:17" s="8" customFormat="1" ht="16" x14ac:dyDescent="0.2">
      <c r="A11" s="8" t="s">
        <v>56</v>
      </c>
      <c r="B11" s="9"/>
      <c r="C11" s="9"/>
      <c r="D11" s="9"/>
      <c r="E11" s="9"/>
      <c r="F11" s="9"/>
      <c r="G11" s="9"/>
      <c r="H11" s="9">
        <v>1</v>
      </c>
      <c r="I11" s="9"/>
      <c r="J11" s="9"/>
      <c r="K11" s="9"/>
      <c r="L11" s="9"/>
      <c r="M11" s="9"/>
      <c r="N11" s="9"/>
      <c r="O11" s="9"/>
      <c r="Q11" s="26">
        <f t="shared" si="0"/>
        <v>39.9</v>
      </c>
    </row>
    <row r="12" spans="1:17" s="8" customFormat="1" ht="16" x14ac:dyDescent="0.2">
      <c r="A12" s="8" t="s">
        <v>55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Q12" s="26">
        <f t="shared" si="0"/>
        <v>0</v>
      </c>
    </row>
    <row r="13" spans="1:17" s="8" customFormat="1" ht="16" x14ac:dyDescent="0.2">
      <c r="A13" s="8" t="s">
        <v>53</v>
      </c>
      <c r="B13" s="9"/>
      <c r="C13" s="9"/>
      <c r="D13" s="9"/>
      <c r="E13" s="9"/>
      <c r="F13" s="9"/>
      <c r="G13" s="9"/>
      <c r="H13" s="9">
        <v>1</v>
      </c>
      <c r="I13" s="9"/>
      <c r="J13" s="9"/>
      <c r="K13" s="9"/>
      <c r="L13" s="9"/>
      <c r="M13" s="9"/>
      <c r="N13" s="9"/>
      <c r="O13" s="9"/>
      <c r="Q13" s="26">
        <f t="shared" si="0"/>
        <v>5.32</v>
      </c>
    </row>
    <row r="14" spans="1:17" s="8" customFormat="1" ht="16" x14ac:dyDescent="0.2">
      <c r="A14" s="8" t="s">
        <v>57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Q14" s="26">
        <f t="shared" si="0"/>
        <v>0</v>
      </c>
    </row>
    <row r="15" spans="1:17" s="8" customFormat="1" ht="16" x14ac:dyDescent="0.2">
      <c r="A15" s="8" t="s">
        <v>58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Q15" s="26">
        <f t="shared" si="0"/>
        <v>0</v>
      </c>
    </row>
    <row r="16" spans="1:17" s="8" customFormat="1" ht="16" x14ac:dyDescent="0.2">
      <c r="A16" s="8" t="s">
        <v>59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Q16" s="26">
        <f t="shared" si="0"/>
        <v>0</v>
      </c>
    </row>
    <row r="17" spans="1:18" s="8" customFormat="1" ht="16" x14ac:dyDescent="0.2">
      <c r="A17" s="8" t="s">
        <v>54</v>
      </c>
      <c r="B17" s="9"/>
      <c r="C17" s="9"/>
      <c r="D17" s="9"/>
      <c r="E17" s="9"/>
      <c r="F17" s="9"/>
      <c r="G17" s="9"/>
      <c r="H17" s="9">
        <v>1</v>
      </c>
      <c r="I17" s="9"/>
      <c r="J17" s="9"/>
      <c r="K17" s="9"/>
      <c r="L17" s="9"/>
      <c r="M17" s="9"/>
      <c r="N17" s="9"/>
      <c r="O17" s="9"/>
      <c r="Q17" s="26">
        <f t="shared" si="0"/>
        <v>33.299999999999997</v>
      </c>
    </row>
    <row r="18" spans="1:18" s="8" customFormat="1" ht="16" x14ac:dyDescent="0.2">
      <c r="A18" s="2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Q18" s="28"/>
    </row>
    <row r="19" spans="1:18" s="8" customFormat="1" ht="16" x14ac:dyDescent="0.2">
      <c r="A19" s="27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Q19" s="28"/>
    </row>
    <row r="20" spans="1:18" s="8" customFormat="1" ht="16" x14ac:dyDescent="0.2">
      <c r="Q20" s="26">
        <f>SUM(Q8:Q19)</f>
        <v>118.52</v>
      </c>
      <c r="R20" s="29" t="s">
        <v>103</v>
      </c>
    </row>
    <row r="21" spans="1:18" s="8" customFormat="1" ht="16" hidden="1" x14ac:dyDescent="0.2">
      <c r="A21" s="8" t="s">
        <v>69</v>
      </c>
      <c r="B21" s="8">
        <f>B8*5.17</f>
        <v>0</v>
      </c>
      <c r="C21" s="8">
        <f>C8*6.17</f>
        <v>0</v>
      </c>
      <c r="D21" s="8">
        <f>D8*7.67</f>
        <v>0</v>
      </c>
      <c r="E21" s="8">
        <f>E8*10.1</f>
        <v>0</v>
      </c>
      <c r="F21" s="8">
        <f>F8*12.6</f>
        <v>0</v>
      </c>
      <c r="G21" s="8">
        <f>G8*15.2</f>
        <v>0</v>
      </c>
      <c r="H21" s="8">
        <f>H8*20</f>
        <v>40</v>
      </c>
      <c r="I21" s="8">
        <f>I8*25.1</f>
        <v>0</v>
      </c>
      <c r="J21" s="8">
        <f>J8*29.8</f>
        <v>0</v>
      </c>
      <c r="K21" s="8">
        <f>K8*32.8</f>
        <v>0</v>
      </c>
      <c r="L21" s="8">
        <f>L8*37.5</f>
        <v>0</v>
      </c>
      <c r="M21" s="8">
        <f>M8*42.2</f>
        <v>0</v>
      </c>
      <c r="N21" s="8">
        <f>N8*47</f>
        <v>0</v>
      </c>
      <c r="O21" s="8">
        <f>O8*56.6</f>
        <v>0</v>
      </c>
    </row>
    <row r="22" spans="1:18" s="8" customFormat="1" ht="16" hidden="1" x14ac:dyDescent="0.2">
      <c r="A22" s="8" t="s">
        <v>70</v>
      </c>
      <c r="B22" s="8">
        <f>B9*2.76</f>
        <v>0</v>
      </c>
      <c r="C22" s="8">
        <f>C9*3.29</f>
        <v>0</v>
      </c>
      <c r="D22" s="8">
        <f>D9*4.1</f>
        <v>0</v>
      </c>
      <c r="E22" s="8">
        <f>E9*5.37</f>
        <v>0</v>
      </c>
      <c r="F22" s="8">
        <f>F9*6.73</f>
        <v>0</v>
      </c>
      <c r="G22" s="8">
        <f>G9*8.1</f>
        <v>0</v>
      </c>
      <c r="H22" s="8">
        <f>H9*10.6</f>
        <v>0</v>
      </c>
      <c r="I22" s="8">
        <f>I9*13.4</f>
        <v>0</v>
      </c>
      <c r="J22" s="8">
        <f>J9*15.9</f>
        <v>0</v>
      </c>
      <c r="K22" s="8">
        <f>K9*17.5</f>
        <v>0</v>
      </c>
      <c r="L22" s="8">
        <f>L9*20</f>
        <v>0</v>
      </c>
      <c r="M22" s="8">
        <f>M9*22.5</f>
        <v>0</v>
      </c>
      <c r="N22" s="8">
        <f>N9*25.1</f>
        <v>0</v>
      </c>
      <c r="O22" s="8">
        <f>O9*30.2</f>
        <v>0</v>
      </c>
    </row>
    <row r="23" spans="1:18" s="8" customFormat="1" ht="16" hidden="1" x14ac:dyDescent="0.2">
      <c r="A23" s="8">
        <v>45</v>
      </c>
      <c r="B23" s="8">
        <f>B10*2.76</f>
        <v>0</v>
      </c>
      <c r="C23" s="8">
        <f>C10*3.29</f>
        <v>0</v>
      </c>
      <c r="D23" s="8">
        <f>D10*4.1</f>
        <v>0</v>
      </c>
      <c r="E23" s="8">
        <f>E10*5.37</f>
        <v>0</v>
      </c>
      <c r="F23" s="8">
        <f>F10*6.73</f>
        <v>0</v>
      </c>
      <c r="G23" s="8">
        <f>G10*8.1</f>
        <v>0</v>
      </c>
      <c r="H23" s="8">
        <f>H10*10.6</f>
        <v>0</v>
      </c>
      <c r="I23" s="8">
        <f>I10*13.4</f>
        <v>0</v>
      </c>
      <c r="J23" s="8">
        <f>J10*15.9</f>
        <v>0</v>
      </c>
      <c r="K23" s="8">
        <f>K10*17.5</f>
        <v>0</v>
      </c>
      <c r="L23" s="8">
        <f>L10*20</f>
        <v>0</v>
      </c>
      <c r="M23" s="8">
        <f>M10*22.5</f>
        <v>0</v>
      </c>
      <c r="N23" s="8">
        <f>N10*25.1</f>
        <v>0</v>
      </c>
      <c r="O23" s="8">
        <f>O10*30.2</f>
        <v>0</v>
      </c>
    </row>
    <row r="24" spans="1:18" s="8" customFormat="1" ht="16" hidden="1" x14ac:dyDescent="0.2">
      <c r="A24" s="8" t="s">
        <v>65</v>
      </c>
      <c r="B24" s="8">
        <f>B11*10.3</f>
        <v>0</v>
      </c>
      <c r="C24" s="8">
        <f>C11*12.3</f>
        <v>0</v>
      </c>
      <c r="D24" s="8">
        <f>D11*15.3</f>
        <v>0</v>
      </c>
      <c r="E24" s="8">
        <f>E11*20.1</f>
        <v>0</v>
      </c>
      <c r="F24" s="8">
        <f>F11*25.2</f>
        <v>0</v>
      </c>
      <c r="G24" s="8">
        <f>G11*30.3</f>
        <v>0</v>
      </c>
      <c r="H24" s="8">
        <f>H11*39.9</f>
        <v>39.9</v>
      </c>
      <c r="I24" s="8">
        <f>I11*50.1</f>
        <v>0</v>
      </c>
      <c r="J24" s="8">
        <f>J11*59.7</f>
        <v>0</v>
      </c>
      <c r="K24" s="8">
        <f>K11*65.6</f>
        <v>0</v>
      </c>
      <c r="L24" s="8">
        <f>L11*75</f>
        <v>0</v>
      </c>
      <c r="M24" s="8">
        <f>M11*84.4</f>
        <v>0</v>
      </c>
      <c r="N24" s="8">
        <f>N11*94.1</f>
        <v>0</v>
      </c>
      <c r="O24" s="8">
        <f>O11*113</f>
        <v>0</v>
      </c>
    </row>
    <row r="25" spans="1:18" s="8" customFormat="1" ht="16" hidden="1" x14ac:dyDescent="0.2">
      <c r="A25" s="8" t="s">
        <v>66</v>
      </c>
      <c r="B25" s="8">
        <f>B12*3.45</f>
        <v>0</v>
      </c>
      <c r="C25" s="8">
        <f>C12*4.12</f>
        <v>0</v>
      </c>
      <c r="D25" s="8">
        <f>D12*5.11</f>
        <v>0</v>
      </c>
      <c r="E25" s="8">
        <f>E12*6.71</f>
        <v>0</v>
      </c>
      <c r="F25" s="8">
        <f>F12*8.41</f>
        <v>0</v>
      </c>
      <c r="G25" s="8">
        <f>G12*10.1</f>
        <v>0</v>
      </c>
      <c r="H25" s="8">
        <f>H12*13.3</f>
        <v>0</v>
      </c>
      <c r="I25" s="8">
        <f>I12*16.7</f>
        <v>0</v>
      </c>
      <c r="J25" s="8">
        <f>J12*19.9</f>
        <v>0</v>
      </c>
      <c r="K25" s="8">
        <f>K12*21.8</f>
        <v>0</v>
      </c>
      <c r="L25" s="8">
        <f>L12*25</f>
        <v>0</v>
      </c>
      <c r="M25" s="8">
        <f>M12*28.1</f>
        <v>0</v>
      </c>
      <c r="N25" s="8">
        <f>N12*31.4</f>
        <v>0</v>
      </c>
      <c r="O25" s="8">
        <f>O12*37.7</f>
        <v>0</v>
      </c>
    </row>
    <row r="26" spans="1:18" s="8" customFormat="1" ht="16" hidden="1" x14ac:dyDescent="0.2">
      <c r="A26" s="8" t="s">
        <v>61</v>
      </c>
      <c r="B26" s="8">
        <f>B13*1.38</f>
        <v>0</v>
      </c>
      <c r="C26" s="8">
        <f>C13*1.65</f>
        <v>0</v>
      </c>
      <c r="D26" s="8">
        <f>D13*2.04</f>
        <v>0</v>
      </c>
      <c r="E26" s="8">
        <f>E13*2.68</f>
        <v>0</v>
      </c>
      <c r="F26" s="8">
        <f>F13*3.36</f>
        <v>0</v>
      </c>
      <c r="G26" s="8">
        <f>G13*4.04</f>
        <v>0</v>
      </c>
      <c r="H26" s="8">
        <f>H13*5.32</f>
        <v>5.32</v>
      </c>
      <c r="I26" s="8">
        <f>I13*6.68</f>
        <v>0</v>
      </c>
      <c r="J26" s="8">
        <f>J13*7.96</f>
        <v>0</v>
      </c>
      <c r="K26" s="8">
        <f>K13*8.75</f>
        <v>0</v>
      </c>
      <c r="L26" s="8">
        <f>L13*10</f>
        <v>0</v>
      </c>
      <c r="M26" s="8">
        <f>M13*11</f>
        <v>0</v>
      </c>
      <c r="N26" s="8">
        <f>N13*12.5</f>
        <v>0</v>
      </c>
      <c r="O26" s="8">
        <f>O13*15.1</f>
        <v>0</v>
      </c>
    </row>
    <row r="27" spans="1:18" s="8" customFormat="1" ht="16" hidden="1" x14ac:dyDescent="0.2">
      <c r="A27" s="8" t="s">
        <v>62</v>
      </c>
      <c r="B27" s="8">
        <f>B14*58.6</f>
        <v>0</v>
      </c>
      <c r="C27" s="8">
        <f>C14*70</f>
        <v>0</v>
      </c>
      <c r="D27" s="8">
        <f>D14*86.9</f>
        <v>0</v>
      </c>
      <c r="E27" s="8">
        <f>E14*114</f>
        <v>0</v>
      </c>
      <c r="F27" s="8">
        <f>F14*143</f>
        <v>0</v>
      </c>
      <c r="G27" s="8">
        <f>G14*172</f>
        <v>0</v>
      </c>
      <c r="H27" s="8">
        <f>H14*226</f>
        <v>0</v>
      </c>
      <c r="I27" s="8">
        <f>I14*284</f>
        <v>0</v>
      </c>
      <c r="J27" s="8">
        <f>J14*338</f>
        <v>0</v>
      </c>
      <c r="K27" s="8">
        <f>K14*372</f>
        <v>0</v>
      </c>
      <c r="L27" s="8">
        <f>L14*425</f>
        <v>0</v>
      </c>
      <c r="M27" s="8">
        <f>M14*478</f>
        <v>0</v>
      </c>
      <c r="N27" s="8">
        <f>N14*533</f>
        <v>0</v>
      </c>
      <c r="O27" s="8">
        <f>O14*541</f>
        <v>0</v>
      </c>
    </row>
    <row r="28" spans="1:18" s="8" customFormat="1" ht="16" hidden="1" x14ac:dyDescent="0.2">
      <c r="A28" s="8" t="s">
        <v>63</v>
      </c>
      <c r="B28" s="8">
        <f>B15*7.75</f>
        <v>0</v>
      </c>
      <c r="C28" s="8">
        <f>C15*9.26</f>
        <v>0</v>
      </c>
      <c r="D28" s="8">
        <f>D15*11.5</f>
        <v>0</v>
      </c>
      <c r="E28" s="8">
        <f>E15*15.1</f>
        <v>0</v>
      </c>
      <c r="F28" s="8">
        <f>F15*18.9</f>
        <v>0</v>
      </c>
      <c r="G28" s="8">
        <f>G15*22.7</f>
        <v>0</v>
      </c>
      <c r="H28" s="8">
        <f>H15*29.9</f>
        <v>0</v>
      </c>
      <c r="I28" s="8">
        <f>I15*29.2</f>
        <v>0</v>
      </c>
      <c r="J28" s="8">
        <f>J15*34.8</f>
        <v>0</v>
      </c>
      <c r="K28" s="8">
        <f>K15*38.3</f>
        <v>0</v>
      </c>
      <c r="L28" s="8">
        <f>L15*31.3</f>
        <v>0</v>
      </c>
      <c r="M28" s="8">
        <f>M15*35.2</f>
        <v>0</v>
      </c>
      <c r="N28" s="8">
        <f>N15*39.2</f>
        <v>0</v>
      </c>
      <c r="O28" s="8">
        <f>O15*47.1</f>
        <v>0</v>
      </c>
    </row>
    <row r="29" spans="1:18" s="8" customFormat="1" ht="16" hidden="1" x14ac:dyDescent="0.2">
      <c r="A29" s="8" t="s">
        <v>64</v>
      </c>
      <c r="B29" s="8">
        <f>B16*8.61</f>
        <v>0</v>
      </c>
      <c r="C29" s="8">
        <f>C16*10.3</f>
        <v>0</v>
      </c>
      <c r="D29" s="8">
        <f>D16*12.8</f>
        <v>0</v>
      </c>
      <c r="E29" s="8">
        <f>E16*16.8</f>
        <v>0</v>
      </c>
      <c r="F29" s="8">
        <f>F16*21</f>
        <v>0</v>
      </c>
      <c r="G29" s="8">
        <f>G16*25.3</f>
        <v>0</v>
      </c>
      <c r="H29" s="8">
        <f>H16*33.3</f>
        <v>0</v>
      </c>
      <c r="I29" s="8">
        <f>I16*41.8</f>
        <v>0</v>
      </c>
      <c r="J29" s="8">
        <f>J16*49.7</f>
        <v>0</v>
      </c>
      <c r="K29" s="8">
        <f>K16*54.7</f>
        <v>0</v>
      </c>
      <c r="L29" s="8">
        <f>L16*62.5</f>
        <v>0</v>
      </c>
      <c r="M29" s="8">
        <f>M16*70.3</f>
        <v>0</v>
      </c>
      <c r="N29" s="8">
        <f>N16*78.4</f>
        <v>0</v>
      </c>
      <c r="O29" s="8">
        <f>O16*94.3</f>
        <v>0</v>
      </c>
    </row>
    <row r="30" spans="1:18" s="8" customFormat="1" ht="16" hidden="1" x14ac:dyDescent="0.2">
      <c r="A30" s="8" t="s">
        <v>67</v>
      </c>
      <c r="B30" s="8">
        <f>B17*17.2</f>
        <v>0</v>
      </c>
      <c r="C30" s="8">
        <f>C17*20.6</f>
        <v>0</v>
      </c>
      <c r="D30" s="8">
        <f>D17*25.5</f>
        <v>0</v>
      </c>
      <c r="E30" s="8">
        <f>E17*33.6</f>
        <v>0</v>
      </c>
      <c r="F30" s="8">
        <f>F17*42.1</f>
        <v>0</v>
      </c>
      <c r="G30" s="8">
        <f>G17*50.5</f>
        <v>0</v>
      </c>
      <c r="H30" s="8">
        <f>H17*33.3</f>
        <v>33.299999999999997</v>
      </c>
      <c r="I30" s="8">
        <f>I17*41.8</f>
        <v>0</v>
      </c>
      <c r="J30" s="8">
        <f>J17*49.7</f>
        <v>0</v>
      </c>
      <c r="K30" s="8">
        <f>K17*54.7</f>
        <v>0</v>
      </c>
      <c r="L30" s="8">
        <f>L17*62.5</f>
        <v>0</v>
      </c>
      <c r="M30" s="8">
        <f>M17*70.3</f>
        <v>0</v>
      </c>
      <c r="N30" s="8">
        <f>N17*78.6</f>
        <v>0</v>
      </c>
      <c r="O30" s="8">
        <f>O17*94.3</f>
        <v>0</v>
      </c>
    </row>
    <row r="31" spans="1:18" s="8" customFormat="1" ht="16" hidden="1" x14ac:dyDescent="0.2">
      <c r="A31" s="8" t="s">
        <v>68</v>
      </c>
      <c r="B31" s="8">
        <f>B18*1</f>
        <v>0</v>
      </c>
      <c r="C31" s="8">
        <f t="shared" ref="C31:O31" si="1">C18*1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  <c r="I31" s="8">
        <f t="shared" si="1"/>
        <v>0</v>
      </c>
      <c r="J31" s="8">
        <f t="shared" si="1"/>
        <v>0</v>
      </c>
      <c r="K31" s="8">
        <f t="shared" si="1"/>
        <v>0</v>
      </c>
      <c r="L31" s="8">
        <f t="shared" si="1"/>
        <v>0</v>
      </c>
      <c r="M31" s="8">
        <f t="shared" si="1"/>
        <v>0</v>
      </c>
      <c r="N31" s="8">
        <f t="shared" si="1"/>
        <v>0</v>
      </c>
      <c r="O31" s="8">
        <f t="shared" si="1"/>
        <v>0</v>
      </c>
    </row>
    <row r="32" spans="1:18" s="8" customFormat="1" ht="16" hidden="1" x14ac:dyDescent="0.2">
      <c r="B32" s="8">
        <f>B19*1</f>
        <v>0</v>
      </c>
      <c r="C32" s="8">
        <f t="shared" ref="C32:O32" si="2">C19*1</f>
        <v>0</v>
      </c>
      <c r="D32" s="8">
        <f t="shared" si="2"/>
        <v>0</v>
      </c>
      <c r="E32" s="8">
        <f t="shared" si="2"/>
        <v>0</v>
      </c>
      <c r="F32" s="8">
        <f t="shared" si="2"/>
        <v>0</v>
      </c>
      <c r="G32" s="8">
        <f t="shared" si="2"/>
        <v>0</v>
      </c>
      <c r="H32" s="8">
        <f t="shared" si="2"/>
        <v>0</v>
      </c>
      <c r="I32" s="8">
        <f t="shared" si="2"/>
        <v>0</v>
      </c>
      <c r="J32" s="8">
        <f t="shared" si="2"/>
        <v>0</v>
      </c>
      <c r="K32" s="8">
        <f t="shared" si="2"/>
        <v>0</v>
      </c>
      <c r="L32" s="8">
        <f t="shared" si="2"/>
        <v>0</v>
      </c>
      <c r="M32" s="8">
        <f t="shared" si="2"/>
        <v>0</v>
      </c>
      <c r="N32" s="8">
        <f t="shared" si="2"/>
        <v>0</v>
      </c>
      <c r="O32" s="8">
        <f t="shared" si="2"/>
        <v>0</v>
      </c>
    </row>
    <row r="33" spans="1:19" s="8" customFormat="1" ht="19" x14ac:dyDescent="0.2">
      <c r="A33" s="6" t="s">
        <v>80</v>
      </c>
    </row>
    <row r="34" spans="1:19" s="8" customFormat="1" ht="16" x14ac:dyDescent="0.2">
      <c r="A34" s="8" t="s">
        <v>71</v>
      </c>
      <c r="B34" s="8" t="s">
        <v>37</v>
      </c>
      <c r="C34" s="8" t="s">
        <v>38</v>
      </c>
      <c r="D34" s="8" t="s">
        <v>39</v>
      </c>
      <c r="E34" s="8" t="s">
        <v>40</v>
      </c>
      <c r="F34" s="8" t="s">
        <v>41</v>
      </c>
      <c r="G34" s="8" t="s">
        <v>42</v>
      </c>
      <c r="H34" s="8" t="s">
        <v>43</v>
      </c>
      <c r="I34" s="8" t="s">
        <v>44</v>
      </c>
      <c r="J34" s="8" t="s">
        <v>45</v>
      </c>
      <c r="K34" s="8" t="s">
        <v>46</v>
      </c>
      <c r="L34" s="8" t="s">
        <v>47</v>
      </c>
      <c r="M34" s="8" t="s">
        <v>60</v>
      </c>
      <c r="N34" s="8" t="s">
        <v>48</v>
      </c>
      <c r="O34" s="8" t="s">
        <v>49</v>
      </c>
    </row>
    <row r="35" spans="1:19" s="8" customFormat="1" ht="16" x14ac:dyDescent="0.2">
      <c r="A35" s="8" t="s">
        <v>50</v>
      </c>
      <c r="B35" s="9"/>
      <c r="C35" s="9"/>
      <c r="D35" s="9"/>
      <c r="E35" s="9">
        <v>4</v>
      </c>
      <c r="F35" s="9"/>
      <c r="G35" s="9"/>
      <c r="H35" s="9"/>
      <c r="I35" s="9"/>
      <c r="J35" s="9"/>
      <c r="K35" s="9"/>
      <c r="L35" s="9"/>
      <c r="M35" s="9"/>
      <c r="N35" s="9"/>
      <c r="O35" s="9"/>
      <c r="Q35" s="26">
        <f>SUM(B48:O48)</f>
        <v>40.4</v>
      </c>
    </row>
    <row r="36" spans="1:19" s="8" customFormat="1" ht="16" x14ac:dyDescent="0.2">
      <c r="A36" s="8" t="s">
        <v>51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Q36" s="26">
        <f t="shared" ref="Q36:Q44" si="3">SUM(B49:O49)</f>
        <v>0</v>
      </c>
    </row>
    <row r="37" spans="1:19" s="8" customFormat="1" ht="16" x14ac:dyDescent="0.2">
      <c r="A37" s="8" t="s">
        <v>52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Q37" s="26">
        <f t="shared" si="3"/>
        <v>0</v>
      </c>
    </row>
    <row r="38" spans="1:19" s="8" customFormat="1" ht="16" x14ac:dyDescent="0.2">
      <c r="A38" s="8" t="s">
        <v>56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Q38" s="26">
        <f t="shared" si="3"/>
        <v>0</v>
      </c>
    </row>
    <row r="39" spans="1:19" s="8" customFormat="1" ht="16" x14ac:dyDescent="0.2">
      <c r="A39" s="8" t="s">
        <v>55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Q39" s="26">
        <f t="shared" si="3"/>
        <v>0</v>
      </c>
      <c r="S39" s="16"/>
    </row>
    <row r="40" spans="1:19" s="8" customFormat="1" ht="16" x14ac:dyDescent="0.2">
      <c r="A40" s="8" t="s">
        <v>53</v>
      </c>
      <c r="B40" s="9"/>
      <c r="C40" s="9"/>
      <c r="D40" s="9"/>
      <c r="E40" s="9">
        <v>1</v>
      </c>
      <c r="F40" s="9"/>
      <c r="G40" s="9"/>
      <c r="H40" s="9"/>
      <c r="I40" s="9"/>
      <c r="J40" s="9"/>
      <c r="K40" s="9"/>
      <c r="L40" s="9"/>
      <c r="M40" s="9"/>
      <c r="N40" s="9"/>
      <c r="O40" s="9"/>
      <c r="Q40" s="26">
        <f t="shared" si="3"/>
        <v>2.68</v>
      </c>
    </row>
    <row r="41" spans="1:19" s="8" customFormat="1" ht="16" x14ac:dyDescent="0.2">
      <c r="A41" s="8" t="s">
        <v>57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Q41" s="26">
        <f t="shared" si="3"/>
        <v>0</v>
      </c>
    </row>
    <row r="42" spans="1:19" s="8" customFormat="1" ht="16" x14ac:dyDescent="0.2">
      <c r="A42" s="8" t="s">
        <v>58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Q42" s="26">
        <f t="shared" si="3"/>
        <v>0</v>
      </c>
    </row>
    <row r="43" spans="1:19" s="8" customFormat="1" ht="16" x14ac:dyDescent="0.2">
      <c r="A43" s="8" t="s">
        <v>59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Q43" s="26">
        <f t="shared" si="3"/>
        <v>0</v>
      </c>
    </row>
    <row r="44" spans="1:19" s="8" customFormat="1" ht="16" x14ac:dyDescent="0.2">
      <c r="A44" s="8" t="s">
        <v>54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Q44" s="26">
        <f t="shared" si="3"/>
        <v>0</v>
      </c>
    </row>
    <row r="45" spans="1:19" s="8" customFormat="1" ht="16" x14ac:dyDescent="0.2">
      <c r="A45" s="27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Q45" s="28"/>
    </row>
    <row r="46" spans="1:19" s="8" customFormat="1" ht="16" x14ac:dyDescent="0.2">
      <c r="A46" s="27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Q46" s="28"/>
    </row>
    <row r="47" spans="1:19" s="8" customFormat="1" ht="16" x14ac:dyDescent="0.2">
      <c r="Q47" s="26">
        <f>SUM(Q35:Q46)</f>
        <v>43.08</v>
      </c>
      <c r="R47" s="20" t="s">
        <v>103</v>
      </c>
    </row>
    <row r="48" spans="1:19" s="8" customFormat="1" ht="16" hidden="1" x14ac:dyDescent="0.2">
      <c r="A48" s="8" t="s">
        <v>69</v>
      </c>
      <c r="B48" s="8">
        <f>B35*5.17</f>
        <v>0</v>
      </c>
      <c r="C48" s="8">
        <f>C35*6.17</f>
        <v>0</v>
      </c>
      <c r="D48" s="8">
        <f>D35*7.67</f>
        <v>0</v>
      </c>
      <c r="E48" s="8">
        <f>E35*10.1</f>
        <v>40.4</v>
      </c>
      <c r="F48" s="8">
        <f>F35*12.6</f>
        <v>0</v>
      </c>
      <c r="G48" s="8">
        <f>G35*15.2</f>
        <v>0</v>
      </c>
      <c r="H48" s="8">
        <f>H35*20</f>
        <v>0</v>
      </c>
      <c r="I48" s="8">
        <f>I35*25.1</f>
        <v>0</v>
      </c>
      <c r="J48" s="8">
        <f>J35*29.8</f>
        <v>0</v>
      </c>
      <c r="K48" s="8">
        <f>K35*32.8</f>
        <v>0</v>
      </c>
      <c r="L48" s="8">
        <f>L35*37.5</f>
        <v>0</v>
      </c>
      <c r="M48" s="8">
        <f>M35*42.2</f>
        <v>0</v>
      </c>
      <c r="N48" s="8">
        <f>N35*47</f>
        <v>0</v>
      </c>
      <c r="O48" s="8">
        <f>O35*56.6</f>
        <v>0</v>
      </c>
      <c r="Q48" s="26"/>
    </row>
    <row r="49" spans="1:17" s="8" customFormat="1" ht="16" hidden="1" x14ac:dyDescent="0.2">
      <c r="A49" s="8" t="s">
        <v>70</v>
      </c>
      <c r="B49" s="8">
        <f>B36*2.76</f>
        <v>0</v>
      </c>
      <c r="C49" s="8">
        <f>C36*3.29</f>
        <v>0</v>
      </c>
      <c r="D49" s="8">
        <f>D36*4.1</f>
        <v>0</v>
      </c>
      <c r="E49" s="8">
        <f>E36*5.37</f>
        <v>0</v>
      </c>
      <c r="F49" s="8">
        <f>F36*6.73</f>
        <v>0</v>
      </c>
      <c r="G49" s="8">
        <f>G36*8.1</f>
        <v>0</v>
      </c>
      <c r="H49" s="8">
        <f>H36*10.6</f>
        <v>0</v>
      </c>
      <c r="I49" s="8">
        <f>I36*13.4</f>
        <v>0</v>
      </c>
      <c r="J49" s="8">
        <f>J36*15.9</f>
        <v>0</v>
      </c>
      <c r="K49" s="8">
        <f>K36*17.5</f>
        <v>0</v>
      </c>
      <c r="L49" s="8">
        <f>L36*20</f>
        <v>0</v>
      </c>
      <c r="M49" s="8">
        <f>M36*22.5</f>
        <v>0</v>
      </c>
      <c r="N49" s="8">
        <f>N36*25.1</f>
        <v>0</v>
      </c>
      <c r="O49" s="8">
        <f>O36*30.2</f>
        <v>0</v>
      </c>
      <c r="Q49" s="26"/>
    </row>
    <row r="50" spans="1:17" s="8" customFormat="1" ht="16" hidden="1" x14ac:dyDescent="0.2">
      <c r="A50" s="8">
        <v>45</v>
      </c>
      <c r="B50" s="8">
        <f>B37*2.76</f>
        <v>0</v>
      </c>
      <c r="C50" s="8">
        <f>C37*3.29</f>
        <v>0</v>
      </c>
      <c r="D50" s="8">
        <f>D37*4.1</f>
        <v>0</v>
      </c>
      <c r="E50" s="8">
        <f>E37*5.37</f>
        <v>0</v>
      </c>
      <c r="F50" s="8">
        <f>F37*6.73</f>
        <v>0</v>
      </c>
      <c r="G50" s="8">
        <f>G37*8.1</f>
        <v>0</v>
      </c>
      <c r="H50" s="8">
        <f>H37*10.6</f>
        <v>0</v>
      </c>
      <c r="I50" s="8">
        <f>I37*13.4</f>
        <v>0</v>
      </c>
      <c r="J50" s="8">
        <f>J37*15.9</f>
        <v>0</v>
      </c>
      <c r="K50" s="8">
        <f>K37*17.5</f>
        <v>0</v>
      </c>
      <c r="L50" s="8">
        <f>L37*20</f>
        <v>0</v>
      </c>
      <c r="M50" s="8">
        <f>M37*22.5</f>
        <v>0</v>
      </c>
      <c r="N50" s="8">
        <f>N37*25.1</f>
        <v>0</v>
      </c>
      <c r="O50" s="8">
        <f>O37*30.2</f>
        <v>0</v>
      </c>
      <c r="Q50" s="26"/>
    </row>
    <row r="51" spans="1:17" s="8" customFormat="1" ht="16" hidden="1" x14ac:dyDescent="0.2">
      <c r="A51" s="8" t="s">
        <v>65</v>
      </c>
      <c r="B51" s="8">
        <f>B38*10.3</f>
        <v>0</v>
      </c>
      <c r="C51" s="8">
        <f>C38*12.3</f>
        <v>0</v>
      </c>
      <c r="D51" s="8">
        <f>D38*15.3</f>
        <v>0</v>
      </c>
      <c r="E51" s="8">
        <f>E38*20.1</f>
        <v>0</v>
      </c>
      <c r="F51" s="8">
        <f>F38*25.2</f>
        <v>0</v>
      </c>
      <c r="G51" s="8">
        <f>G38*30.3</f>
        <v>0</v>
      </c>
      <c r="H51" s="8">
        <f>H38*39.9</f>
        <v>0</v>
      </c>
      <c r="I51" s="8">
        <f>I38*50.1</f>
        <v>0</v>
      </c>
      <c r="J51" s="8">
        <f>J38*59.7</f>
        <v>0</v>
      </c>
      <c r="K51" s="8">
        <f>K38*65.6</f>
        <v>0</v>
      </c>
      <c r="L51" s="8">
        <f>L38*75</f>
        <v>0</v>
      </c>
      <c r="M51" s="8">
        <f>M38*84.4</f>
        <v>0</v>
      </c>
      <c r="N51" s="8">
        <f>N38*94.1</f>
        <v>0</v>
      </c>
      <c r="O51" s="8">
        <f>O38*113</f>
        <v>0</v>
      </c>
      <c r="Q51" s="26"/>
    </row>
    <row r="52" spans="1:17" s="8" customFormat="1" ht="16" hidden="1" x14ac:dyDescent="0.2">
      <c r="A52" s="8" t="s">
        <v>66</v>
      </c>
      <c r="B52" s="8">
        <f>B39*3.45</f>
        <v>0</v>
      </c>
      <c r="C52" s="8">
        <f>C39*4.12</f>
        <v>0</v>
      </c>
      <c r="D52" s="8">
        <f>D39*5.11</f>
        <v>0</v>
      </c>
      <c r="E52" s="8">
        <f>E39*6.71</f>
        <v>0</v>
      </c>
      <c r="F52" s="8">
        <f>F39*8.41</f>
        <v>0</v>
      </c>
      <c r="G52" s="8">
        <f>G39*10.1</f>
        <v>0</v>
      </c>
      <c r="H52" s="8">
        <f>H39*13.3</f>
        <v>0</v>
      </c>
      <c r="I52" s="8">
        <f>I39*16.7</f>
        <v>0</v>
      </c>
      <c r="J52" s="8">
        <f>J39*19.9</f>
        <v>0</v>
      </c>
      <c r="K52" s="8">
        <f>K39*21.8</f>
        <v>0</v>
      </c>
      <c r="L52" s="8">
        <f>L39*25</f>
        <v>0</v>
      </c>
      <c r="M52" s="8">
        <f>M39*28.1</f>
        <v>0</v>
      </c>
      <c r="N52" s="8">
        <f>N39*31.4</f>
        <v>0</v>
      </c>
      <c r="O52" s="8">
        <f>O39*37.7</f>
        <v>0</v>
      </c>
      <c r="Q52" s="26"/>
    </row>
    <row r="53" spans="1:17" s="8" customFormat="1" ht="16" hidden="1" x14ac:dyDescent="0.2">
      <c r="A53" s="8" t="s">
        <v>61</v>
      </c>
      <c r="B53" s="8">
        <f>B40*1.38</f>
        <v>0</v>
      </c>
      <c r="C53" s="8">
        <f>C40*1.65</f>
        <v>0</v>
      </c>
      <c r="D53" s="8">
        <f>D40*2.04</f>
        <v>0</v>
      </c>
      <c r="E53" s="8">
        <f>E40*2.68</f>
        <v>2.68</v>
      </c>
      <c r="F53" s="8">
        <f>F40*3.36</f>
        <v>0</v>
      </c>
      <c r="G53" s="8">
        <f>G40*4.04</f>
        <v>0</v>
      </c>
      <c r="H53" s="8">
        <f>H40*5.32</f>
        <v>0</v>
      </c>
      <c r="I53" s="8">
        <f>I40*6.68</f>
        <v>0</v>
      </c>
      <c r="J53" s="8">
        <f>J40*7.96</f>
        <v>0</v>
      </c>
      <c r="K53" s="8">
        <f>K40*8.75</f>
        <v>0</v>
      </c>
      <c r="L53" s="8">
        <f>L40*10</f>
        <v>0</v>
      </c>
      <c r="M53" s="8">
        <f>M40*11</f>
        <v>0</v>
      </c>
      <c r="N53" s="8">
        <f>N40*12.5</f>
        <v>0</v>
      </c>
      <c r="O53" s="8">
        <f>O40*15.1</f>
        <v>0</v>
      </c>
      <c r="Q53" s="26"/>
    </row>
    <row r="54" spans="1:17" s="8" customFormat="1" ht="16" hidden="1" x14ac:dyDescent="0.2">
      <c r="A54" s="8" t="s">
        <v>62</v>
      </c>
      <c r="B54" s="8">
        <f>B41*58.6</f>
        <v>0</v>
      </c>
      <c r="C54" s="8">
        <f>C41*70</f>
        <v>0</v>
      </c>
      <c r="D54" s="8">
        <f>D41*86.9</f>
        <v>0</v>
      </c>
      <c r="E54" s="8">
        <f>E41*114</f>
        <v>0</v>
      </c>
      <c r="F54" s="8">
        <f>F41*143</f>
        <v>0</v>
      </c>
      <c r="G54" s="8">
        <f>G41*172</f>
        <v>0</v>
      </c>
      <c r="H54" s="8">
        <f>H41*226</f>
        <v>0</v>
      </c>
      <c r="I54" s="8">
        <f>I41*284</f>
        <v>0</v>
      </c>
      <c r="J54" s="8">
        <f>J41*338</f>
        <v>0</v>
      </c>
      <c r="K54" s="8">
        <f>K41*372</f>
        <v>0</v>
      </c>
      <c r="L54" s="8">
        <f>L41*425</f>
        <v>0</v>
      </c>
      <c r="M54" s="8">
        <f>M41*478</f>
        <v>0</v>
      </c>
      <c r="N54" s="8">
        <f>N41*533</f>
        <v>0</v>
      </c>
      <c r="O54" s="8">
        <f>O41*541</f>
        <v>0</v>
      </c>
      <c r="Q54" s="26"/>
    </row>
    <row r="55" spans="1:17" s="8" customFormat="1" ht="16" hidden="1" x14ac:dyDescent="0.2">
      <c r="A55" s="8" t="s">
        <v>63</v>
      </c>
      <c r="B55" s="8">
        <f>B42*7.75</f>
        <v>0</v>
      </c>
      <c r="C55" s="8">
        <f>C42*9.26</f>
        <v>0</v>
      </c>
      <c r="D55" s="8">
        <f>D42*11.5</f>
        <v>0</v>
      </c>
      <c r="E55" s="8">
        <f>E42*15.1</f>
        <v>0</v>
      </c>
      <c r="F55" s="8">
        <f>F42*18.9</f>
        <v>0</v>
      </c>
      <c r="G55" s="8">
        <f>G42*22.7</f>
        <v>0</v>
      </c>
      <c r="H55" s="8">
        <f>H42*29.9</f>
        <v>0</v>
      </c>
      <c r="I55" s="8">
        <f>I42*29.2</f>
        <v>0</v>
      </c>
      <c r="J55" s="8">
        <f>J42*34.8</f>
        <v>0</v>
      </c>
      <c r="K55" s="8">
        <f>K42*38.3</f>
        <v>0</v>
      </c>
      <c r="L55" s="8">
        <f>L42*31.3</f>
        <v>0</v>
      </c>
      <c r="M55" s="8">
        <f>M42*35.2</f>
        <v>0</v>
      </c>
      <c r="N55" s="8">
        <f>N42*39.2</f>
        <v>0</v>
      </c>
      <c r="O55" s="8">
        <f>O42*47.1</f>
        <v>0</v>
      </c>
      <c r="Q55" s="26"/>
    </row>
    <row r="56" spans="1:17" s="8" customFormat="1" ht="16" hidden="1" x14ac:dyDescent="0.2">
      <c r="A56" s="8" t="s">
        <v>64</v>
      </c>
      <c r="B56" s="8">
        <f>B43*8.61</f>
        <v>0</v>
      </c>
      <c r="C56" s="8">
        <f>C43*10.3</f>
        <v>0</v>
      </c>
      <c r="D56" s="8">
        <f>D43*12.8</f>
        <v>0</v>
      </c>
      <c r="E56" s="8">
        <f>E43*16.8</f>
        <v>0</v>
      </c>
      <c r="F56" s="8">
        <f>F43*21</f>
        <v>0</v>
      </c>
      <c r="G56" s="8">
        <f>G43*25.3</f>
        <v>0</v>
      </c>
      <c r="H56" s="8">
        <f>H43*33.3</f>
        <v>0</v>
      </c>
      <c r="I56" s="8">
        <f>I43*41.8</f>
        <v>0</v>
      </c>
      <c r="J56" s="8">
        <f>J43*49.7</f>
        <v>0</v>
      </c>
      <c r="K56" s="8">
        <f>K43*54.7</f>
        <v>0</v>
      </c>
      <c r="L56" s="8">
        <f>L43*62.5</f>
        <v>0</v>
      </c>
      <c r="M56" s="8">
        <f>M43*70.3</f>
        <v>0</v>
      </c>
      <c r="N56" s="8">
        <f>N43*78.4</f>
        <v>0</v>
      </c>
      <c r="O56" s="8">
        <f>O43*94.3</f>
        <v>0</v>
      </c>
      <c r="Q56" s="26"/>
    </row>
    <row r="57" spans="1:17" s="8" customFormat="1" ht="16" hidden="1" x14ac:dyDescent="0.2">
      <c r="A57" s="8" t="s">
        <v>67</v>
      </c>
      <c r="B57" s="8">
        <f>B44*17.2</f>
        <v>0</v>
      </c>
      <c r="C57" s="8">
        <f>C44*20.6</f>
        <v>0</v>
      </c>
      <c r="D57" s="8">
        <f>D44*25.5</f>
        <v>0</v>
      </c>
      <c r="E57" s="8">
        <f>E44*33.6</f>
        <v>0</v>
      </c>
      <c r="F57" s="8">
        <f>F44*42.1</f>
        <v>0</v>
      </c>
      <c r="G57" s="8">
        <f>G44*50.5</f>
        <v>0</v>
      </c>
      <c r="H57" s="8">
        <f>H44*33.3</f>
        <v>0</v>
      </c>
      <c r="I57" s="8">
        <f>I44*41.8</f>
        <v>0</v>
      </c>
      <c r="J57" s="8">
        <f>J44*49.7</f>
        <v>0</v>
      </c>
      <c r="K57" s="8">
        <f>K44*54.7</f>
        <v>0</v>
      </c>
      <c r="L57" s="8">
        <f>L44*62.5</f>
        <v>0</v>
      </c>
      <c r="M57" s="8">
        <f>M44*70.3</f>
        <v>0</v>
      </c>
      <c r="N57" s="8">
        <f>N44*78.6</f>
        <v>0</v>
      </c>
      <c r="O57" s="8">
        <f>O44*94.3</f>
        <v>0</v>
      </c>
      <c r="Q57" s="26"/>
    </row>
    <row r="58" spans="1:17" s="8" customFormat="1" ht="16" hidden="1" x14ac:dyDescent="0.2">
      <c r="A58" s="8" t="s">
        <v>68</v>
      </c>
      <c r="B58" s="8">
        <f>B45*1</f>
        <v>0</v>
      </c>
      <c r="C58" s="8">
        <f t="shared" ref="C58:O58" si="4">C45*1</f>
        <v>0</v>
      </c>
      <c r="D58" s="8">
        <f t="shared" si="4"/>
        <v>0</v>
      </c>
      <c r="E58" s="8">
        <f t="shared" si="4"/>
        <v>0</v>
      </c>
      <c r="F58" s="8">
        <f t="shared" si="4"/>
        <v>0</v>
      </c>
      <c r="G58" s="8">
        <f t="shared" si="4"/>
        <v>0</v>
      </c>
      <c r="H58" s="8">
        <f t="shared" si="4"/>
        <v>0</v>
      </c>
      <c r="I58" s="8">
        <f t="shared" si="4"/>
        <v>0</v>
      </c>
      <c r="J58" s="8">
        <f t="shared" si="4"/>
        <v>0</v>
      </c>
      <c r="K58" s="8">
        <f t="shared" si="4"/>
        <v>0</v>
      </c>
      <c r="L58" s="8">
        <f t="shared" si="4"/>
        <v>0</v>
      </c>
      <c r="M58" s="8">
        <f t="shared" si="4"/>
        <v>0</v>
      </c>
      <c r="N58" s="8">
        <f t="shared" si="4"/>
        <v>0</v>
      </c>
      <c r="O58" s="8">
        <f t="shared" si="4"/>
        <v>0</v>
      </c>
      <c r="Q58" s="26"/>
    </row>
    <row r="59" spans="1:17" s="8" customFormat="1" ht="16" hidden="1" x14ac:dyDescent="0.2">
      <c r="B59" s="8">
        <f>B46*1</f>
        <v>0</v>
      </c>
      <c r="C59" s="8">
        <f t="shared" ref="C59:O59" si="5">C46*1</f>
        <v>0</v>
      </c>
      <c r="D59" s="8">
        <f t="shared" si="5"/>
        <v>0</v>
      </c>
      <c r="E59" s="8">
        <f t="shared" si="5"/>
        <v>0</v>
      </c>
      <c r="F59" s="8">
        <f t="shared" si="5"/>
        <v>0</v>
      </c>
      <c r="G59" s="8">
        <f t="shared" si="5"/>
        <v>0</v>
      </c>
      <c r="H59" s="8">
        <f t="shared" si="5"/>
        <v>0</v>
      </c>
      <c r="I59" s="8">
        <f t="shared" si="5"/>
        <v>0</v>
      </c>
      <c r="J59" s="8">
        <f t="shared" si="5"/>
        <v>0</v>
      </c>
      <c r="K59" s="8">
        <f t="shared" si="5"/>
        <v>0</v>
      </c>
      <c r="L59" s="8">
        <f t="shared" si="5"/>
        <v>0</v>
      </c>
      <c r="M59" s="8">
        <f t="shared" si="5"/>
        <v>0</v>
      </c>
      <c r="N59" s="8">
        <f t="shared" si="5"/>
        <v>0</v>
      </c>
      <c r="O59" s="8">
        <f t="shared" si="5"/>
        <v>0</v>
      </c>
    </row>
    <row r="60" spans="1:17" s="8" customFormat="1" ht="19" x14ac:dyDescent="0.2">
      <c r="A60" s="6" t="s">
        <v>83</v>
      </c>
    </row>
    <row r="61" spans="1:17" s="8" customFormat="1" ht="16" x14ac:dyDescent="0.2">
      <c r="A61" s="8" t="s">
        <v>71</v>
      </c>
      <c r="B61" s="8" t="s">
        <v>37</v>
      </c>
      <c r="C61" s="8" t="s">
        <v>38</v>
      </c>
      <c r="D61" s="8" t="s">
        <v>39</v>
      </c>
      <c r="E61" s="8" t="s">
        <v>40</v>
      </c>
      <c r="F61" s="8" t="s">
        <v>41</v>
      </c>
      <c r="G61" s="8" t="s">
        <v>42</v>
      </c>
      <c r="H61" s="8" t="s">
        <v>43</v>
      </c>
      <c r="I61" s="8" t="s">
        <v>44</v>
      </c>
      <c r="J61" s="8" t="s">
        <v>45</v>
      </c>
      <c r="K61" s="8" t="s">
        <v>46</v>
      </c>
      <c r="L61" s="8" t="s">
        <v>47</v>
      </c>
      <c r="M61" s="8" t="s">
        <v>60</v>
      </c>
      <c r="N61" s="8" t="s">
        <v>48</v>
      </c>
      <c r="O61" s="8" t="s">
        <v>49</v>
      </c>
    </row>
    <row r="62" spans="1:17" s="8" customFormat="1" ht="16" x14ac:dyDescent="0.2">
      <c r="A62" s="8" t="s">
        <v>50</v>
      </c>
      <c r="B62" s="9"/>
      <c r="C62" s="9"/>
      <c r="D62" s="9"/>
      <c r="E62" s="9">
        <v>2</v>
      </c>
      <c r="F62" s="9"/>
      <c r="G62" s="9"/>
      <c r="H62" s="9"/>
      <c r="I62" s="9"/>
      <c r="J62" s="9"/>
      <c r="K62" s="9"/>
      <c r="L62" s="9"/>
      <c r="M62" s="9"/>
      <c r="N62" s="9"/>
      <c r="O62" s="9"/>
      <c r="Q62" s="26">
        <f>SUM(B75:O75)</f>
        <v>20.2</v>
      </c>
    </row>
    <row r="63" spans="1:17" s="8" customFormat="1" ht="16" x14ac:dyDescent="0.2">
      <c r="A63" s="8" t="s">
        <v>51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Q63" s="26">
        <f t="shared" ref="Q63:Q71" si="6">SUM(B76:O76)</f>
        <v>0</v>
      </c>
    </row>
    <row r="64" spans="1:17" s="8" customFormat="1" ht="16" x14ac:dyDescent="0.2">
      <c r="A64" s="8" t="s">
        <v>52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Q64" s="26">
        <f t="shared" si="6"/>
        <v>0</v>
      </c>
    </row>
    <row r="65" spans="1:18" s="8" customFormat="1" ht="16" x14ac:dyDescent="0.2">
      <c r="A65" s="8" t="s">
        <v>56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Q65" s="26">
        <f t="shared" si="6"/>
        <v>0</v>
      </c>
    </row>
    <row r="66" spans="1:18" s="8" customFormat="1" ht="16" x14ac:dyDescent="0.2">
      <c r="A66" s="8" t="s">
        <v>55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Q66" s="26">
        <f t="shared" si="6"/>
        <v>0</v>
      </c>
    </row>
    <row r="67" spans="1:18" s="8" customFormat="1" ht="16" x14ac:dyDescent="0.2">
      <c r="A67" s="8" t="s">
        <v>53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Q67" s="26">
        <f t="shared" si="6"/>
        <v>0</v>
      </c>
    </row>
    <row r="68" spans="1:18" s="8" customFormat="1" ht="16" x14ac:dyDescent="0.2">
      <c r="A68" s="8" t="s">
        <v>57</v>
      </c>
      <c r="B68" s="9"/>
      <c r="C68" s="9"/>
      <c r="D68" s="9"/>
      <c r="E68" s="9">
        <v>1</v>
      </c>
      <c r="F68" s="9"/>
      <c r="G68" s="9"/>
      <c r="H68" s="9"/>
      <c r="I68" s="9"/>
      <c r="J68" s="9"/>
      <c r="K68" s="9"/>
      <c r="L68" s="9"/>
      <c r="M68" s="9"/>
      <c r="N68" s="9"/>
      <c r="O68" s="9"/>
      <c r="Q68" s="26">
        <f t="shared" si="6"/>
        <v>114</v>
      </c>
    </row>
    <row r="69" spans="1:18" s="8" customFormat="1" ht="16" x14ac:dyDescent="0.2">
      <c r="A69" s="8" t="s">
        <v>58</v>
      </c>
      <c r="B69" s="9"/>
      <c r="C69" s="9"/>
      <c r="D69" s="9"/>
      <c r="E69" s="9">
        <v>1</v>
      </c>
      <c r="F69" s="9"/>
      <c r="G69" s="9"/>
      <c r="H69" s="9"/>
      <c r="I69" s="9"/>
      <c r="J69" s="9"/>
      <c r="K69" s="9"/>
      <c r="L69" s="9"/>
      <c r="M69" s="9"/>
      <c r="N69" s="9"/>
      <c r="O69" s="9"/>
      <c r="Q69" s="26">
        <f t="shared" si="6"/>
        <v>15.1</v>
      </c>
    </row>
    <row r="70" spans="1:18" s="8" customFormat="1" ht="16" x14ac:dyDescent="0.2">
      <c r="A70" s="8" t="s">
        <v>59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Q70" s="26">
        <f t="shared" si="6"/>
        <v>0</v>
      </c>
    </row>
    <row r="71" spans="1:18" s="8" customFormat="1" ht="16" x14ac:dyDescent="0.2">
      <c r="A71" s="8" t="s">
        <v>54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Q71" s="26">
        <f t="shared" si="6"/>
        <v>0</v>
      </c>
    </row>
    <row r="72" spans="1:18" s="8" customFormat="1" ht="16" x14ac:dyDescent="0.2">
      <c r="A72" s="27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Q72" s="28"/>
    </row>
    <row r="73" spans="1:18" s="8" customFormat="1" ht="16" x14ac:dyDescent="0.2">
      <c r="A73" s="27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Q73" s="28"/>
    </row>
    <row r="74" spans="1:18" s="8" customFormat="1" ht="16" x14ac:dyDescent="0.2">
      <c r="Q74" s="26">
        <f>SUM(Q62:Q73)</f>
        <v>149.29999999999998</v>
      </c>
      <c r="R74" s="20" t="s">
        <v>103</v>
      </c>
    </row>
    <row r="75" spans="1:18" hidden="1" x14ac:dyDescent="0.2">
      <c r="A75" t="s">
        <v>69</v>
      </c>
      <c r="B75" s="1">
        <f>B62*5.17</f>
        <v>0</v>
      </c>
      <c r="C75" s="1">
        <f>C62*6.17</f>
        <v>0</v>
      </c>
      <c r="D75" s="1">
        <f>D62*7.67</f>
        <v>0</v>
      </c>
      <c r="E75" s="1">
        <f>E62*10.1</f>
        <v>20.2</v>
      </c>
      <c r="F75" s="1">
        <f>F62*12.6</f>
        <v>0</v>
      </c>
      <c r="G75" s="1">
        <f>G62*15.2</f>
        <v>0</v>
      </c>
      <c r="H75" s="1">
        <f>H62*20</f>
        <v>0</v>
      </c>
      <c r="I75" s="1">
        <f>I62*25.1</f>
        <v>0</v>
      </c>
      <c r="J75" s="1">
        <f>J62*29.8</f>
        <v>0</v>
      </c>
      <c r="K75" s="1">
        <f>K62*32.8</f>
        <v>0</v>
      </c>
      <c r="L75" s="1">
        <f>L62*37.5</f>
        <v>0</v>
      </c>
      <c r="M75" s="1">
        <f>M62*42.2</f>
        <v>0</v>
      </c>
      <c r="N75" s="1">
        <f>N62*47</f>
        <v>0</v>
      </c>
      <c r="O75" s="1">
        <f>O62*56.6</f>
        <v>0</v>
      </c>
    </row>
    <row r="76" spans="1:18" hidden="1" x14ac:dyDescent="0.2">
      <c r="A76" s="2" t="s">
        <v>70</v>
      </c>
      <c r="B76" s="1">
        <f>B63*2.76</f>
        <v>0</v>
      </c>
      <c r="C76" s="1">
        <f>C63*3.29</f>
        <v>0</v>
      </c>
      <c r="D76" s="1">
        <f>D63*4.1</f>
        <v>0</v>
      </c>
      <c r="E76" s="1">
        <f>E63*5.37</f>
        <v>0</v>
      </c>
      <c r="F76" s="1">
        <f>F63*6.73</f>
        <v>0</v>
      </c>
      <c r="G76" s="1">
        <f>G63*8.1</f>
        <v>0</v>
      </c>
      <c r="H76" s="1">
        <f>H63*10.6</f>
        <v>0</v>
      </c>
      <c r="I76" s="1">
        <f>I63*13.4</f>
        <v>0</v>
      </c>
      <c r="J76" s="1">
        <f>J63*15.9</f>
        <v>0</v>
      </c>
      <c r="K76" s="1">
        <f>K63*17.5</f>
        <v>0</v>
      </c>
      <c r="L76" s="1">
        <f>L63*20</f>
        <v>0</v>
      </c>
      <c r="M76" s="1">
        <f>M63*22.5</f>
        <v>0</v>
      </c>
      <c r="N76" s="1">
        <f>N63*25.1</f>
        <v>0</v>
      </c>
      <c r="O76" s="1">
        <f>O63*30.2</f>
        <v>0</v>
      </c>
    </row>
    <row r="77" spans="1:18" hidden="1" x14ac:dyDescent="0.2">
      <c r="A77">
        <v>45</v>
      </c>
      <c r="B77" s="1">
        <f>B64*2.76</f>
        <v>0</v>
      </c>
      <c r="C77" s="1">
        <f>C64*3.29</f>
        <v>0</v>
      </c>
      <c r="D77" s="1">
        <f>D64*4.1</f>
        <v>0</v>
      </c>
      <c r="E77" s="1">
        <f>E64*5.37</f>
        <v>0</v>
      </c>
      <c r="F77" s="1">
        <f>F64*6.73</f>
        <v>0</v>
      </c>
      <c r="G77" s="1">
        <f>G64*8.1</f>
        <v>0</v>
      </c>
      <c r="H77" s="1">
        <f>H64*10.6</f>
        <v>0</v>
      </c>
      <c r="I77" s="1">
        <f>I64*13.4</f>
        <v>0</v>
      </c>
      <c r="J77" s="1">
        <f>J64*15.9</f>
        <v>0</v>
      </c>
      <c r="K77" s="1">
        <f>K64*17.5</f>
        <v>0</v>
      </c>
      <c r="L77" s="1">
        <f>L64*20</f>
        <v>0</v>
      </c>
      <c r="M77" s="1">
        <f>M64*22.5</f>
        <v>0</v>
      </c>
      <c r="N77" s="1">
        <f>N64*25.1</f>
        <v>0</v>
      </c>
      <c r="O77" s="1">
        <f>O64*30.2</f>
        <v>0</v>
      </c>
    </row>
    <row r="78" spans="1:18" hidden="1" x14ac:dyDescent="0.2">
      <c r="A78" s="2" t="s">
        <v>65</v>
      </c>
      <c r="B78" s="1">
        <f>B65*10.3</f>
        <v>0</v>
      </c>
      <c r="C78" s="1">
        <f>C65*12.3</f>
        <v>0</v>
      </c>
      <c r="D78" s="1">
        <f>D65*15.3</f>
        <v>0</v>
      </c>
      <c r="E78" s="1">
        <f>E65*20.1</f>
        <v>0</v>
      </c>
      <c r="F78" s="1">
        <f>F65*25.2</f>
        <v>0</v>
      </c>
      <c r="G78" s="1">
        <f>G65*30.3</f>
        <v>0</v>
      </c>
      <c r="H78" s="1">
        <f>H65*39.9</f>
        <v>0</v>
      </c>
      <c r="I78" s="1">
        <f>I65*50.1</f>
        <v>0</v>
      </c>
      <c r="J78" s="1">
        <f>J65*59.7</f>
        <v>0</v>
      </c>
      <c r="K78" s="1">
        <f>K65*65.6</f>
        <v>0</v>
      </c>
      <c r="L78" s="1">
        <f>L65*75</f>
        <v>0</v>
      </c>
      <c r="M78" s="1">
        <f>M65*84.4</f>
        <v>0</v>
      </c>
      <c r="N78" s="1">
        <f>N65*94.1</f>
        <v>0</v>
      </c>
      <c r="O78" s="1">
        <f>O65*113</f>
        <v>0</v>
      </c>
    </row>
    <row r="79" spans="1:18" hidden="1" x14ac:dyDescent="0.2">
      <c r="A79" s="2" t="s">
        <v>66</v>
      </c>
      <c r="B79" s="1">
        <f>B66*3.45</f>
        <v>0</v>
      </c>
      <c r="C79" s="1">
        <f>C66*4.12</f>
        <v>0</v>
      </c>
      <c r="D79" s="1">
        <f>D66*5.11</f>
        <v>0</v>
      </c>
      <c r="E79" s="1">
        <f>E66*6.71</f>
        <v>0</v>
      </c>
      <c r="F79" s="1">
        <f>F66*8.41</f>
        <v>0</v>
      </c>
      <c r="G79" s="1">
        <f>G66*10.1</f>
        <v>0</v>
      </c>
      <c r="H79" s="1">
        <f>H66*13.3</f>
        <v>0</v>
      </c>
      <c r="I79" s="1">
        <f>I66*16.7</f>
        <v>0</v>
      </c>
      <c r="J79" s="1">
        <f>J66*19.9</f>
        <v>0</v>
      </c>
      <c r="K79" s="1">
        <f>K66*21.8</f>
        <v>0</v>
      </c>
      <c r="L79" s="1">
        <f>L66*25</f>
        <v>0</v>
      </c>
      <c r="M79" s="1">
        <f>M66*28.1</f>
        <v>0</v>
      </c>
      <c r="N79" s="1">
        <f>N66*31.4</f>
        <v>0</v>
      </c>
      <c r="O79" s="1">
        <f>O66*37.7</f>
        <v>0</v>
      </c>
    </row>
    <row r="80" spans="1:18" hidden="1" x14ac:dyDescent="0.2">
      <c r="A80" s="2" t="s">
        <v>61</v>
      </c>
      <c r="B80" s="1">
        <f>B67*1.38</f>
        <v>0</v>
      </c>
      <c r="C80" s="1">
        <f>C67*1.65</f>
        <v>0</v>
      </c>
      <c r="D80" s="1">
        <f>D67*2.04</f>
        <v>0</v>
      </c>
      <c r="E80" s="1">
        <f>E67*2.68</f>
        <v>0</v>
      </c>
      <c r="F80" s="1">
        <f>F67*3.36</f>
        <v>0</v>
      </c>
      <c r="G80" s="1">
        <f>G67*4.04</f>
        <v>0</v>
      </c>
      <c r="H80" s="1">
        <f>H67*5.32</f>
        <v>0</v>
      </c>
      <c r="I80" s="1">
        <f>I67*6.68</f>
        <v>0</v>
      </c>
      <c r="J80" s="1">
        <f>J67*7.96</f>
        <v>0</v>
      </c>
      <c r="K80" s="1">
        <f>K67*8.75</f>
        <v>0</v>
      </c>
      <c r="L80" s="1">
        <f>L67*10</f>
        <v>0</v>
      </c>
      <c r="M80" s="1">
        <f>M67*11</f>
        <v>0</v>
      </c>
      <c r="N80" s="1">
        <f>N67*12.5</f>
        <v>0</v>
      </c>
      <c r="O80" s="1">
        <f>O67*15.1</f>
        <v>0</v>
      </c>
    </row>
    <row r="81" spans="1:15" hidden="1" x14ac:dyDescent="0.2">
      <c r="A81" s="2" t="s">
        <v>62</v>
      </c>
      <c r="B81" s="1">
        <f>B68*58.6</f>
        <v>0</v>
      </c>
      <c r="C81" s="1">
        <f>C68*70</f>
        <v>0</v>
      </c>
      <c r="D81" s="1">
        <f>D68*86.9</f>
        <v>0</v>
      </c>
      <c r="E81" s="1">
        <f>E68*114</f>
        <v>114</v>
      </c>
      <c r="F81" s="1">
        <f>F68*143</f>
        <v>0</v>
      </c>
      <c r="G81" s="1">
        <f>G68*172</f>
        <v>0</v>
      </c>
      <c r="H81" s="1">
        <f>H68*226</f>
        <v>0</v>
      </c>
      <c r="I81" s="1">
        <f>I68*284</f>
        <v>0</v>
      </c>
      <c r="J81" s="1">
        <f>J68*338</f>
        <v>0</v>
      </c>
      <c r="K81" s="1">
        <f>K68*372</f>
        <v>0</v>
      </c>
      <c r="L81" s="1">
        <f>L68*425</f>
        <v>0</v>
      </c>
      <c r="M81" s="1">
        <f>M68*478</f>
        <v>0</v>
      </c>
      <c r="N81" s="1">
        <f>N68*533</f>
        <v>0</v>
      </c>
      <c r="O81" s="1">
        <f>O68*541</f>
        <v>0</v>
      </c>
    </row>
    <row r="82" spans="1:15" hidden="1" x14ac:dyDescent="0.2">
      <c r="A82" s="2" t="s">
        <v>63</v>
      </c>
      <c r="B82" s="1">
        <f>B69*7.75</f>
        <v>0</v>
      </c>
      <c r="C82" s="1">
        <f>C69*9.26</f>
        <v>0</v>
      </c>
      <c r="D82" s="1">
        <f>D69*11.5</f>
        <v>0</v>
      </c>
      <c r="E82" s="1">
        <f>E69*15.1</f>
        <v>15.1</v>
      </c>
      <c r="F82" s="1">
        <f>F69*18.9</f>
        <v>0</v>
      </c>
      <c r="G82" s="1">
        <f>G69*22.7</f>
        <v>0</v>
      </c>
      <c r="H82" s="1">
        <f>H69*29.9</f>
        <v>0</v>
      </c>
      <c r="I82" s="1">
        <f>I69*29.2</f>
        <v>0</v>
      </c>
      <c r="J82" s="1">
        <f>J69*34.8</f>
        <v>0</v>
      </c>
      <c r="K82" s="1">
        <f>K69*38.3</f>
        <v>0</v>
      </c>
      <c r="L82" s="1">
        <f>L69*31.3</f>
        <v>0</v>
      </c>
      <c r="M82" s="1">
        <f>M69*35.2</f>
        <v>0</v>
      </c>
      <c r="N82" s="1">
        <f>N69*39.2</f>
        <v>0</v>
      </c>
      <c r="O82" s="1">
        <f>O69*47.1</f>
        <v>0</v>
      </c>
    </row>
    <row r="83" spans="1:15" hidden="1" x14ac:dyDescent="0.2">
      <c r="A83" s="2" t="s">
        <v>64</v>
      </c>
      <c r="B83" s="1">
        <f>B70*8.61</f>
        <v>0</v>
      </c>
      <c r="C83" s="1">
        <f>C70*10.3</f>
        <v>0</v>
      </c>
      <c r="D83" s="1">
        <f>D70*12.8</f>
        <v>0</v>
      </c>
      <c r="E83" s="1">
        <f>E70*16.8</f>
        <v>0</v>
      </c>
      <c r="F83" s="1">
        <f>F70*21</f>
        <v>0</v>
      </c>
      <c r="G83" s="1">
        <f>G70*25.3</f>
        <v>0</v>
      </c>
      <c r="H83" s="1">
        <f>H70*33.3</f>
        <v>0</v>
      </c>
      <c r="I83" s="1">
        <f>I70*41.8</f>
        <v>0</v>
      </c>
      <c r="J83" s="1">
        <f>J70*49.7</f>
        <v>0</v>
      </c>
      <c r="K83" s="1">
        <f>K70*54.7</f>
        <v>0</v>
      </c>
      <c r="L83" s="1">
        <f>L70*62.5</f>
        <v>0</v>
      </c>
      <c r="M83" s="1">
        <f>M70*70.3</f>
        <v>0</v>
      </c>
      <c r="N83" s="1">
        <f>N70*78.4</f>
        <v>0</v>
      </c>
      <c r="O83" s="1">
        <f>O70*94.3</f>
        <v>0</v>
      </c>
    </row>
    <row r="84" spans="1:15" hidden="1" x14ac:dyDescent="0.2">
      <c r="A84" s="2" t="s">
        <v>67</v>
      </c>
      <c r="B84" s="1">
        <f>B71*17.2</f>
        <v>0</v>
      </c>
      <c r="C84" s="1">
        <f>C71*20.6</f>
        <v>0</v>
      </c>
      <c r="D84" s="1">
        <f>D71*25.5</f>
        <v>0</v>
      </c>
      <c r="E84" s="1">
        <f>E71*33.6</f>
        <v>0</v>
      </c>
      <c r="F84" s="1">
        <f>F71*42.1</f>
        <v>0</v>
      </c>
      <c r="G84" s="1">
        <f>G71*50.5</f>
        <v>0</v>
      </c>
      <c r="H84" s="1">
        <f>H71*33.3</f>
        <v>0</v>
      </c>
      <c r="I84" s="1">
        <f>I71*41.8</f>
        <v>0</v>
      </c>
      <c r="J84" s="1">
        <f>J71*49.7</f>
        <v>0</v>
      </c>
      <c r="K84" s="1">
        <f>K71*54.7</f>
        <v>0</v>
      </c>
      <c r="L84" s="1">
        <f>L71*62.5</f>
        <v>0</v>
      </c>
      <c r="M84" s="1">
        <f>M71*70.3</f>
        <v>0</v>
      </c>
      <c r="N84" s="1">
        <f>N71*78.6</f>
        <v>0</v>
      </c>
      <c r="O84" s="1">
        <f>O71*94.3</f>
        <v>0</v>
      </c>
    </row>
    <row r="85" spans="1:15" hidden="1" x14ac:dyDescent="0.2">
      <c r="A85" s="2" t="s">
        <v>68</v>
      </c>
      <c r="B85" s="1">
        <f>B72*1</f>
        <v>0</v>
      </c>
      <c r="C85" s="1">
        <f t="shared" ref="C85:O85" si="7">C72*1</f>
        <v>0</v>
      </c>
      <c r="D85" s="1">
        <f t="shared" si="7"/>
        <v>0</v>
      </c>
      <c r="E85" s="1">
        <f t="shared" si="7"/>
        <v>0</v>
      </c>
      <c r="F85" s="1">
        <f t="shared" si="7"/>
        <v>0</v>
      </c>
      <c r="G85" s="1">
        <f t="shared" si="7"/>
        <v>0</v>
      </c>
      <c r="H85" s="1">
        <f t="shared" si="7"/>
        <v>0</v>
      </c>
      <c r="I85" s="1">
        <f t="shared" si="7"/>
        <v>0</v>
      </c>
      <c r="J85" s="1">
        <f t="shared" si="7"/>
        <v>0</v>
      </c>
      <c r="K85" s="1">
        <f t="shared" si="7"/>
        <v>0</v>
      </c>
      <c r="L85" s="1">
        <f t="shared" si="7"/>
        <v>0</v>
      </c>
      <c r="M85" s="1">
        <f t="shared" si="7"/>
        <v>0</v>
      </c>
      <c r="N85" s="1">
        <f t="shared" si="7"/>
        <v>0</v>
      </c>
      <c r="O85" s="1">
        <f t="shared" si="7"/>
        <v>0</v>
      </c>
    </row>
    <row r="86" spans="1:15" hidden="1" x14ac:dyDescent="0.2">
      <c r="B86" s="1">
        <f>B73*1</f>
        <v>0</v>
      </c>
      <c r="C86" s="1">
        <f t="shared" ref="C86:O86" si="8">C73*1</f>
        <v>0</v>
      </c>
      <c r="D86" s="1">
        <f t="shared" si="8"/>
        <v>0</v>
      </c>
      <c r="E86" s="1">
        <f t="shared" si="8"/>
        <v>0</v>
      </c>
      <c r="F86" s="1">
        <f t="shared" si="8"/>
        <v>0</v>
      </c>
      <c r="G86" s="1">
        <f t="shared" si="8"/>
        <v>0</v>
      </c>
      <c r="H86" s="1">
        <f t="shared" si="8"/>
        <v>0</v>
      </c>
      <c r="I86" s="1">
        <f t="shared" si="8"/>
        <v>0</v>
      </c>
      <c r="J86" s="1">
        <f t="shared" si="8"/>
        <v>0</v>
      </c>
      <c r="K86" s="1">
        <f t="shared" si="8"/>
        <v>0</v>
      </c>
      <c r="L86" s="1">
        <f t="shared" si="8"/>
        <v>0</v>
      </c>
      <c r="M86" s="1">
        <f t="shared" si="8"/>
        <v>0</v>
      </c>
      <c r="N86" s="1">
        <f t="shared" si="8"/>
        <v>0</v>
      </c>
      <c r="O86" s="1">
        <f t="shared" si="8"/>
        <v>0</v>
      </c>
    </row>
  </sheetData>
  <mergeCells count="1">
    <mergeCell ref="A1:XFD1"/>
  </mergeCells>
  <pageMargins left="0.7" right="0.7" top="0.75" bottom="0.75" header="0.3" footer="0.3"/>
  <pageSetup scale="61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Pipe Calculations</vt:lpstr>
      <vt:lpstr>Fitting Calculations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Evans</dc:creator>
  <cp:lastModifiedBy>Dylan Zsigray</cp:lastModifiedBy>
  <cp:lastPrinted>2021-04-05T20:19:15Z</cp:lastPrinted>
  <dcterms:created xsi:type="dcterms:W3CDTF">2012-06-13T13:55:37Z</dcterms:created>
  <dcterms:modified xsi:type="dcterms:W3CDTF">2021-04-28T18:42:58Z</dcterms:modified>
</cp:coreProperties>
</file>